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defaultThemeVersion="124226"/>
  <mc:AlternateContent xmlns:mc="http://schemas.openxmlformats.org/markup-compatibility/2006">
    <mc:Choice Requires="x15">
      <x15ac:absPath xmlns:x15ac="http://schemas.microsoft.com/office/spreadsheetml/2010/11/ac" url="https://unioxfordnexus.sharepoint.com/sites/HumanResources-PayConditionsProjectTeam/Shared Documents/General/Delivery_Papers Op Brd &amp; People Committee/PCOB/2025-12-03/Final for Review (Renu)/"/>
    </mc:Choice>
  </mc:AlternateContent>
  <xr:revisionPtr revIDLastSave="34" documentId="8_{4196E87C-4E08-417A-A960-8ABAAF2CB7D1}" xr6:coauthVersionLast="47" xr6:coauthVersionMax="47" xr10:uidLastSave="{D65A2D1E-445B-46F6-A10A-F3A7ACF4B2E8}"/>
  <bookViews>
    <workbookView xWindow="-110" yWindow="-110" windowWidth="19420" windowHeight="11500" firstSheet="2" activeTab="2" xr2:uid="{00000000-000D-0000-FFFF-FFFF00000000}"/>
  </bookViews>
  <sheets>
    <sheet name="Cost Centre list" sheetId="1" state="hidden" r:id="rId1"/>
    <sheet name="Visa fees &amp; dropdowns" sheetId="2" state="hidden" r:id="rId2"/>
    <sheet name="Visa Loan Scheme request form" sheetId="3" r:id="rId3"/>
    <sheet name="Repayment Planner" sheetId="5" r:id="rId4"/>
  </sheets>
  <definedNames>
    <definedName name="cc">#REF!</definedName>
    <definedName name="CostCentre">'Cost Centre list'!$A$3:$B$203</definedName>
    <definedName name="csDesignMode">1</definedName>
    <definedName name="date">#REF!</definedName>
    <definedName name="exp">#REF!</definedName>
    <definedName name="invoicedate">#REF!</definedName>
    <definedName name="Nationality">'Visa fees &amp; dropdowns'!$C$3:$C$270</definedName>
    <definedName name="_xlnm.Print_Area" localSheetId="3">'Repayment Planner'!$A$12:$G$134</definedName>
    <definedName name="_xlnm.Print_Area" localSheetId="2">'Visa Loan Scheme request form'!$A$1:$K$177</definedName>
    <definedName name="_xlnm.Print_Titles" localSheetId="3">'Repayment Planner'!13:13</definedName>
    <definedName name="sub">#REF!</definedName>
    <definedName name="subjective">#REF!</definedName>
    <definedName name="table">#REF!</definedName>
    <definedName name="Title">'Visa fees &amp; dropdowns'!$A$3:$A$12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3" l="1"/>
  <c r="G133" i="5"/>
  <c r="F133" i="5"/>
  <c r="E133" i="5"/>
  <c r="D133" i="5"/>
  <c r="C133" i="5"/>
  <c r="B133" i="5"/>
  <c r="A133" i="5"/>
  <c r="G132" i="5"/>
  <c r="F132" i="5"/>
  <c r="E132" i="5"/>
  <c r="D132" i="5"/>
  <c r="C132" i="5"/>
  <c r="B132" i="5"/>
  <c r="A132" i="5"/>
  <c r="G131" i="5"/>
  <c r="F131" i="5"/>
  <c r="E131" i="5"/>
  <c r="D131" i="5"/>
  <c r="C131" i="5"/>
  <c r="B131" i="5"/>
  <c r="A131" i="5"/>
  <c r="G130" i="5"/>
  <c r="F130" i="5"/>
  <c r="E130" i="5"/>
  <c r="D130" i="5"/>
  <c r="C130" i="5"/>
  <c r="B130" i="5"/>
  <c r="A130" i="5"/>
  <c r="G129" i="5"/>
  <c r="F129" i="5"/>
  <c r="E129" i="5"/>
  <c r="D129" i="5"/>
  <c r="C129" i="5"/>
  <c r="B129" i="5"/>
  <c r="A129" i="5"/>
  <c r="G128" i="5"/>
  <c r="F128" i="5"/>
  <c r="E128" i="5"/>
  <c r="D128" i="5"/>
  <c r="C128" i="5"/>
  <c r="B128" i="5"/>
  <c r="A128" i="5"/>
  <c r="G127" i="5"/>
  <c r="F127" i="5"/>
  <c r="E127" i="5"/>
  <c r="D127" i="5"/>
  <c r="C127" i="5"/>
  <c r="B127" i="5"/>
  <c r="A127" i="5"/>
  <c r="G126" i="5"/>
  <c r="F126" i="5"/>
  <c r="E126" i="5"/>
  <c r="D126" i="5"/>
  <c r="C126" i="5"/>
  <c r="B126" i="5"/>
  <c r="A126" i="5"/>
  <c r="G125" i="5"/>
  <c r="F125" i="5"/>
  <c r="E125" i="5"/>
  <c r="D125" i="5"/>
  <c r="C125" i="5"/>
  <c r="B125" i="5"/>
  <c r="A125" i="5"/>
  <c r="G124" i="5"/>
  <c r="F124" i="5"/>
  <c r="E124" i="5"/>
  <c r="D124" i="5"/>
  <c r="C124" i="5"/>
  <c r="B124" i="5"/>
  <c r="A124" i="5"/>
  <c r="G123" i="5"/>
  <c r="F123" i="5"/>
  <c r="E123" i="5"/>
  <c r="D123" i="5"/>
  <c r="C123" i="5"/>
  <c r="B123" i="5"/>
  <c r="A123" i="5"/>
  <c r="G122" i="5"/>
  <c r="F122" i="5"/>
  <c r="E122" i="5"/>
  <c r="D122" i="5"/>
  <c r="C122" i="5"/>
  <c r="B122" i="5"/>
  <c r="A122" i="5"/>
  <c r="G121" i="5"/>
  <c r="F121" i="5"/>
  <c r="E121" i="5"/>
  <c r="D121" i="5"/>
  <c r="C121" i="5"/>
  <c r="B121" i="5"/>
  <c r="A121" i="5"/>
  <c r="G120" i="5"/>
  <c r="F120" i="5"/>
  <c r="E120" i="5"/>
  <c r="D120" i="5"/>
  <c r="C120" i="5"/>
  <c r="B120" i="5"/>
  <c r="A120" i="5"/>
  <c r="G119" i="5"/>
  <c r="F119" i="5"/>
  <c r="E119" i="5"/>
  <c r="D119" i="5"/>
  <c r="C119" i="5"/>
  <c r="B119" i="5"/>
  <c r="A119" i="5"/>
  <c r="G118" i="5"/>
  <c r="F118" i="5"/>
  <c r="E118" i="5"/>
  <c r="D118" i="5"/>
  <c r="C118" i="5"/>
  <c r="B118" i="5"/>
  <c r="A118" i="5"/>
  <c r="G117" i="5"/>
  <c r="F117" i="5"/>
  <c r="E117" i="5"/>
  <c r="D117" i="5"/>
  <c r="C117" i="5"/>
  <c r="B117" i="5"/>
  <c r="A117" i="5"/>
  <c r="G116" i="5"/>
  <c r="F116" i="5"/>
  <c r="E116" i="5"/>
  <c r="D116" i="5"/>
  <c r="C116" i="5"/>
  <c r="B116" i="5"/>
  <c r="A116" i="5"/>
  <c r="G115" i="5"/>
  <c r="F115" i="5"/>
  <c r="E115" i="5"/>
  <c r="D115" i="5"/>
  <c r="C115" i="5"/>
  <c r="B115" i="5"/>
  <c r="A115" i="5"/>
  <c r="G114" i="5"/>
  <c r="F114" i="5"/>
  <c r="E114" i="5"/>
  <c r="D114" i="5"/>
  <c r="C114" i="5"/>
  <c r="B114" i="5"/>
  <c r="A114" i="5"/>
  <c r="G113" i="5"/>
  <c r="F113" i="5"/>
  <c r="E113" i="5"/>
  <c r="D113" i="5"/>
  <c r="C113" i="5"/>
  <c r="B113" i="5"/>
  <c r="A113" i="5"/>
  <c r="G112" i="5"/>
  <c r="F112" i="5"/>
  <c r="E112" i="5"/>
  <c r="D112" i="5"/>
  <c r="C112" i="5"/>
  <c r="B112" i="5"/>
  <c r="A112" i="5"/>
  <c r="G111" i="5"/>
  <c r="F111" i="5"/>
  <c r="E111" i="5"/>
  <c r="D111" i="5"/>
  <c r="C111" i="5"/>
  <c r="B111" i="5"/>
  <c r="A111" i="5"/>
  <c r="G110" i="5"/>
  <c r="F110" i="5"/>
  <c r="E110" i="5"/>
  <c r="D110" i="5"/>
  <c r="C110" i="5"/>
  <c r="B110" i="5"/>
  <c r="A110" i="5"/>
  <c r="G109" i="5"/>
  <c r="F109" i="5"/>
  <c r="E109" i="5"/>
  <c r="D109" i="5"/>
  <c r="C109" i="5"/>
  <c r="B109" i="5"/>
  <c r="A109" i="5"/>
  <c r="G108" i="5"/>
  <c r="F108" i="5"/>
  <c r="E108" i="5"/>
  <c r="D108" i="5"/>
  <c r="C108" i="5"/>
  <c r="B108" i="5"/>
  <c r="A108" i="5"/>
  <c r="G107" i="5"/>
  <c r="F107" i="5"/>
  <c r="E107" i="5"/>
  <c r="D107" i="5"/>
  <c r="C107" i="5"/>
  <c r="B107" i="5"/>
  <c r="A107" i="5"/>
  <c r="G106" i="5"/>
  <c r="F106" i="5"/>
  <c r="E106" i="5"/>
  <c r="D106" i="5"/>
  <c r="C106" i="5"/>
  <c r="B106" i="5"/>
  <c r="A106" i="5"/>
  <c r="G105" i="5"/>
  <c r="F105" i="5"/>
  <c r="E105" i="5"/>
  <c r="D105" i="5"/>
  <c r="C105" i="5"/>
  <c r="B105" i="5"/>
  <c r="A105" i="5"/>
  <c r="G104" i="5"/>
  <c r="F104" i="5"/>
  <c r="E104" i="5"/>
  <c r="D104" i="5"/>
  <c r="C104" i="5"/>
  <c r="B104" i="5"/>
  <c r="A104" i="5"/>
  <c r="G103" i="5"/>
  <c r="F103" i="5"/>
  <c r="E103" i="5"/>
  <c r="D103" i="5"/>
  <c r="C103" i="5"/>
  <c r="B103" i="5"/>
  <c r="A103" i="5"/>
  <c r="G102" i="5"/>
  <c r="F102" i="5"/>
  <c r="E102" i="5"/>
  <c r="D102" i="5"/>
  <c r="C102" i="5"/>
  <c r="B102" i="5"/>
  <c r="A102" i="5"/>
  <c r="G101" i="5"/>
  <c r="F101" i="5"/>
  <c r="E101" i="5"/>
  <c r="D101" i="5"/>
  <c r="C101" i="5"/>
  <c r="B101" i="5"/>
  <c r="A101" i="5"/>
  <c r="G100" i="5"/>
  <c r="F100" i="5"/>
  <c r="E100" i="5"/>
  <c r="D100" i="5"/>
  <c r="C100" i="5"/>
  <c r="B100" i="5"/>
  <c r="A100" i="5"/>
  <c r="G99" i="5"/>
  <c r="F99" i="5"/>
  <c r="E99" i="5"/>
  <c r="D99" i="5"/>
  <c r="C99" i="5"/>
  <c r="B99" i="5"/>
  <c r="A99" i="5"/>
  <c r="G98" i="5"/>
  <c r="F98" i="5"/>
  <c r="E98" i="5"/>
  <c r="D98" i="5"/>
  <c r="C98" i="5"/>
  <c r="B98" i="5"/>
  <c r="A98" i="5"/>
  <c r="G97" i="5"/>
  <c r="F97" i="5"/>
  <c r="E97" i="5"/>
  <c r="D97" i="5"/>
  <c r="C97" i="5"/>
  <c r="B97" i="5"/>
  <c r="A97" i="5"/>
  <c r="G96" i="5"/>
  <c r="F96" i="5"/>
  <c r="E96" i="5"/>
  <c r="D96" i="5"/>
  <c r="C96" i="5"/>
  <c r="B96" i="5"/>
  <c r="A96" i="5"/>
  <c r="G95" i="5"/>
  <c r="F95" i="5"/>
  <c r="E95" i="5"/>
  <c r="D95" i="5"/>
  <c r="C95" i="5"/>
  <c r="B95" i="5"/>
  <c r="A95" i="5"/>
  <c r="G94" i="5"/>
  <c r="F94" i="5"/>
  <c r="E94" i="5"/>
  <c r="D94" i="5"/>
  <c r="C94" i="5"/>
  <c r="B94" i="5"/>
  <c r="A94" i="5"/>
  <c r="G93" i="5"/>
  <c r="F93" i="5"/>
  <c r="E93" i="5"/>
  <c r="D93" i="5"/>
  <c r="C93" i="5"/>
  <c r="B93" i="5"/>
  <c r="A93" i="5"/>
  <c r="G92" i="5"/>
  <c r="F92" i="5"/>
  <c r="E92" i="5"/>
  <c r="D92" i="5"/>
  <c r="C92" i="5"/>
  <c r="B92" i="5"/>
  <c r="A92" i="5"/>
  <c r="G91" i="5"/>
  <c r="F91" i="5"/>
  <c r="E91" i="5"/>
  <c r="D91" i="5"/>
  <c r="C91" i="5"/>
  <c r="B91" i="5"/>
  <c r="A91" i="5"/>
  <c r="G90" i="5"/>
  <c r="F90" i="5"/>
  <c r="E90" i="5"/>
  <c r="D90" i="5"/>
  <c r="C90" i="5"/>
  <c r="B90" i="5"/>
  <c r="A90" i="5"/>
  <c r="G89" i="5"/>
  <c r="F89" i="5"/>
  <c r="E89" i="5"/>
  <c r="D89" i="5"/>
  <c r="C89" i="5"/>
  <c r="B89" i="5"/>
  <c r="A89" i="5"/>
  <c r="G88" i="5"/>
  <c r="F88" i="5"/>
  <c r="E88" i="5"/>
  <c r="D88" i="5"/>
  <c r="C88" i="5"/>
  <c r="B88" i="5"/>
  <c r="A88" i="5"/>
  <c r="G87" i="5"/>
  <c r="F87" i="5"/>
  <c r="E87" i="5"/>
  <c r="D87" i="5"/>
  <c r="C87" i="5"/>
  <c r="B87" i="5"/>
  <c r="A87" i="5"/>
  <c r="G86" i="5"/>
  <c r="F86" i="5"/>
  <c r="E86" i="5"/>
  <c r="D86" i="5"/>
  <c r="C86" i="5"/>
  <c r="B86" i="5"/>
  <c r="A86" i="5"/>
  <c r="G85" i="5"/>
  <c r="F85" i="5"/>
  <c r="E85" i="5"/>
  <c r="D85" i="5"/>
  <c r="C85" i="5"/>
  <c r="B85" i="5"/>
  <c r="A85" i="5"/>
  <c r="G84" i="5"/>
  <c r="F84" i="5"/>
  <c r="E84" i="5"/>
  <c r="D84" i="5"/>
  <c r="C84" i="5"/>
  <c r="B84" i="5"/>
  <c r="A84" i="5"/>
  <c r="G83" i="5"/>
  <c r="F83" i="5"/>
  <c r="E83" i="5"/>
  <c r="D83" i="5"/>
  <c r="C83" i="5"/>
  <c r="B83" i="5"/>
  <c r="A83" i="5"/>
  <c r="G82" i="5"/>
  <c r="F82" i="5"/>
  <c r="E82" i="5"/>
  <c r="D82" i="5"/>
  <c r="C82" i="5"/>
  <c r="B82" i="5"/>
  <c r="A82" i="5"/>
  <c r="G81" i="5"/>
  <c r="F81" i="5"/>
  <c r="E81" i="5"/>
  <c r="D81" i="5"/>
  <c r="C81" i="5"/>
  <c r="B81" i="5"/>
  <c r="A81" i="5"/>
  <c r="G80" i="5"/>
  <c r="F80" i="5"/>
  <c r="E80" i="5"/>
  <c r="D80" i="5"/>
  <c r="C80" i="5"/>
  <c r="B80" i="5"/>
  <c r="A80" i="5"/>
  <c r="G79" i="5"/>
  <c r="F79" i="5"/>
  <c r="E79" i="5"/>
  <c r="D79" i="5"/>
  <c r="C79" i="5"/>
  <c r="B79" i="5"/>
  <c r="A79" i="5"/>
  <c r="G78" i="5"/>
  <c r="F78" i="5"/>
  <c r="E78" i="5"/>
  <c r="D78" i="5"/>
  <c r="C78" i="5"/>
  <c r="B78" i="5"/>
  <c r="A78" i="5"/>
  <c r="G77" i="5"/>
  <c r="F77" i="5"/>
  <c r="E77" i="5"/>
  <c r="D77" i="5"/>
  <c r="C77" i="5"/>
  <c r="B77" i="5"/>
  <c r="A77" i="5"/>
  <c r="G76" i="5"/>
  <c r="F76" i="5"/>
  <c r="E76" i="5"/>
  <c r="D76" i="5"/>
  <c r="C76" i="5"/>
  <c r="B76" i="5"/>
  <c r="A76" i="5"/>
  <c r="G75" i="5"/>
  <c r="F75" i="5"/>
  <c r="E75" i="5"/>
  <c r="D75" i="5"/>
  <c r="C75" i="5"/>
  <c r="B75" i="5"/>
  <c r="A75" i="5"/>
  <c r="G74" i="5"/>
  <c r="F74" i="5"/>
  <c r="E74" i="5"/>
  <c r="D74" i="5"/>
  <c r="C74" i="5"/>
  <c r="B74" i="5"/>
  <c r="A74" i="5"/>
  <c r="G73" i="5"/>
  <c r="F73" i="5"/>
  <c r="E73" i="5"/>
  <c r="D73" i="5"/>
  <c r="C73" i="5"/>
  <c r="B73" i="5"/>
  <c r="A73" i="5"/>
  <c r="G72" i="5"/>
  <c r="F72" i="5"/>
  <c r="E72" i="5"/>
  <c r="D72" i="5"/>
  <c r="C72" i="5"/>
  <c r="B72" i="5"/>
  <c r="A72" i="5"/>
  <c r="G71" i="5"/>
  <c r="F71" i="5"/>
  <c r="E71" i="5"/>
  <c r="D71" i="5"/>
  <c r="C71" i="5"/>
  <c r="B71" i="5"/>
  <c r="A71" i="5"/>
  <c r="G70" i="5"/>
  <c r="F70" i="5"/>
  <c r="E70" i="5"/>
  <c r="D70" i="5"/>
  <c r="C70" i="5"/>
  <c r="B70" i="5"/>
  <c r="A70" i="5"/>
  <c r="G69" i="5"/>
  <c r="F69" i="5"/>
  <c r="E69" i="5"/>
  <c r="D69" i="5"/>
  <c r="C69" i="5"/>
  <c r="B69" i="5"/>
  <c r="A69" i="5"/>
  <c r="G68" i="5"/>
  <c r="F68" i="5"/>
  <c r="E68" i="5"/>
  <c r="D68" i="5"/>
  <c r="C68" i="5"/>
  <c r="B68" i="5"/>
  <c r="A68" i="5"/>
  <c r="G67" i="5"/>
  <c r="F67" i="5"/>
  <c r="E67" i="5"/>
  <c r="D67" i="5"/>
  <c r="C67" i="5"/>
  <c r="B67" i="5"/>
  <c r="A67" i="5"/>
  <c r="G66" i="5"/>
  <c r="F66" i="5"/>
  <c r="E66" i="5"/>
  <c r="D66" i="5"/>
  <c r="C66" i="5"/>
  <c r="B66" i="5"/>
  <c r="A66" i="5"/>
  <c r="G65" i="5"/>
  <c r="F65" i="5"/>
  <c r="E65" i="5"/>
  <c r="D65" i="5"/>
  <c r="C65" i="5"/>
  <c r="B65" i="5"/>
  <c r="A65" i="5"/>
  <c r="G64" i="5"/>
  <c r="F64" i="5"/>
  <c r="E64" i="5"/>
  <c r="D64" i="5"/>
  <c r="C64" i="5"/>
  <c r="B64" i="5"/>
  <c r="A64" i="5"/>
  <c r="G63" i="5"/>
  <c r="F63" i="5"/>
  <c r="E63" i="5"/>
  <c r="D63" i="5"/>
  <c r="C63" i="5"/>
  <c r="B63" i="5"/>
  <c r="A63" i="5"/>
  <c r="G62" i="5"/>
  <c r="F62" i="5"/>
  <c r="E62" i="5"/>
  <c r="D62" i="5"/>
  <c r="C62" i="5"/>
  <c r="B62" i="5"/>
  <c r="A62" i="5"/>
  <c r="G61" i="5"/>
  <c r="F61" i="5"/>
  <c r="E61" i="5"/>
  <c r="D61" i="5"/>
  <c r="C61" i="5"/>
  <c r="B61" i="5"/>
  <c r="A61" i="5"/>
  <c r="G60" i="5"/>
  <c r="F60" i="5"/>
  <c r="E60" i="5"/>
  <c r="D60" i="5"/>
  <c r="C60" i="5"/>
  <c r="B60" i="5"/>
  <c r="A60" i="5"/>
  <c r="G59" i="5"/>
  <c r="F59" i="5"/>
  <c r="E59" i="5"/>
  <c r="D59" i="5"/>
  <c r="C59" i="5"/>
  <c r="B59" i="5"/>
  <c r="A59" i="5"/>
  <c r="G58" i="5"/>
  <c r="F58" i="5"/>
  <c r="E58" i="5"/>
  <c r="D58" i="5"/>
  <c r="C58" i="5"/>
  <c r="B58" i="5"/>
  <c r="A58" i="5"/>
  <c r="G57" i="5"/>
  <c r="F57" i="5"/>
  <c r="E57" i="5"/>
  <c r="D57" i="5"/>
  <c r="C57" i="5"/>
  <c r="B57" i="5"/>
  <c r="A57" i="5"/>
  <c r="G56" i="5"/>
  <c r="F56" i="5"/>
  <c r="E56" i="5"/>
  <c r="D56" i="5"/>
  <c r="C56" i="5"/>
  <c r="B56" i="5"/>
  <c r="A56" i="5"/>
  <c r="G55" i="5"/>
  <c r="F55" i="5"/>
  <c r="E55" i="5"/>
  <c r="D55" i="5"/>
  <c r="C55" i="5"/>
  <c r="B55" i="5"/>
  <c r="A55" i="5"/>
  <c r="G54" i="5"/>
  <c r="F54" i="5"/>
  <c r="E54" i="5"/>
  <c r="D54" i="5"/>
  <c r="C54" i="5"/>
  <c r="B54" i="5"/>
  <c r="A54" i="5"/>
  <c r="G53" i="5"/>
  <c r="F53" i="5"/>
  <c r="E53" i="5"/>
  <c r="D53" i="5"/>
  <c r="C53" i="5"/>
  <c r="B53" i="5"/>
  <c r="A53" i="5"/>
  <c r="G52" i="5"/>
  <c r="F52" i="5"/>
  <c r="E52" i="5"/>
  <c r="D52" i="5"/>
  <c r="C52" i="5"/>
  <c r="B52" i="5"/>
  <c r="A52" i="5"/>
  <c r="G51" i="5"/>
  <c r="F51" i="5"/>
  <c r="E51" i="5"/>
  <c r="D51" i="5"/>
  <c r="C51" i="5"/>
  <c r="B51" i="5"/>
  <c r="A51" i="5"/>
  <c r="G50" i="5"/>
  <c r="F50" i="5"/>
  <c r="E50" i="5"/>
  <c r="D50" i="5"/>
  <c r="C50" i="5"/>
  <c r="B50" i="5"/>
  <c r="A50" i="5"/>
  <c r="G49" i="5"/>
  <c r="F49" i="5"/>
  <c r="E49" i="5"/>
  <c r="D49" i="5"/>
  <c r="C49" i="5"/>
  <c r="B49" i="5"/>
  <c r="A49" i="5"/>
  <c r="G48" i="5"/>
  <c r="F48" i="5"/>
  <c r="E48" i="5"/>
  <c r="D48" i="5"/>
  <c r="C48" i="5"/>
  <c r="B48" i="5"/>
  <c r="A48" i="5"/>
  <c r="G47" i="5"/>
  <c r="F47" i="5"/>
  <c r="E47" i="5"/>
  <c r="D47" i="5"/>
  <c r="C47" i="5"/>
  <c r="B47" i="5"/>
  <c r="A47" i="5"/>
  <c r="G46" i="5"/>
  <c r="F46" i="5"/>
  <c r="E46" i="5"/>
  <c r="D46" i="5"/>
  <c r="C46" i="5"/>
  <c r="B46" i="5"/>
  <c r="A46" i="5"/>
  <c r="G45" i="5"/>
  <c r="F45" i="5"/>
  <c r="E45" i="5"/>
  <c r="D45" i="5"/>
  <c r="C45" i="5"/>
  <c r="B45" i="5"/>
  <c r="A45" i="5"/>
  <c r="G44" i="5"/>
  <c r="F44" i="5"/>
  <c r="E44" i="5"/>
  <c r="D44" i="5"/>
  <c r="C44" i="5"/>
  <c r="B44" i="5"/>
  <c r="A44" i="5"/>
  <c r="G43" i="5"/>
  <c r="F43" i="5"/>
  <c r="E43" i="5"/>
  <c r="D43" i="5"/>
  <c r="C43" i="5"/>
  <c r="B43" i="5"/>
  <c r="A43" i="5"/>
  <c r="G42" i="5"/>
  <c r="F42" i="5"/>
  <c r="E42" i="5"/>
  <c r="D42" i="5"/>
  <c r="C42" i="5"/>
  <c r="B42" i="5"/>
  <c r="A42" i="5"/>
  <c r="G41" i="5"/>
  <c r="F41" i="5"/>
  <c r="E41" i="5"/>
  <c r="D41" i="5"/>
  <c r="C41" i="5"/>
  <c r="B41" i="5"/>
  <c r="A41" i="5"/>
  <c r="G40" i="5"/>
  <c r="F40" i="5"/>
  <c r="E40" i="5"/>
  <c r="D40" i="5"/>
  <c r="C40" i="5"/>
  <c r="B40" i="5"/>
  <c r="A40" i="5"/>
  <c r="G39" i="5"/>
  <c r="F39" i="5"/>
  <c r="E39" i="5"/>
  <c r="D39" i="5"/>
  <c r="C39" i="5"/>
  <c r="B39" i="5"/>
  <c r="A39" i="5"/>
  <c r="G38" i="5"/>
  <c r="F38" i="5"/>
  <c r="E38" i="5"/>
  <c r="D38" i="5"/>
  <c r="C38" i="5"/>
  <c r="B38" i="5"/>
  <c r="A38" i="5"/>
  <c r="G37" i="5"/>
  <c r="F37" i="5"/>
  <c r="E37" i="5"/>
  <c r="D37" i="5"/>
  <c r="C37" i="5"/>
  <c r="B37" i="5"/>
  <c r="A37" i="5"/>
  <c r="G36" i="5"/>
  <c r="F36" i="5"/>
  <c r="E36" i="5"/>
  <c r="D36" i="5"/>
  <c r="C36" i="5"/>
  <c r="B36" i="5"/>
  <c r="A36" i="5"/>
  <c r="G35" i="5"/>
  <c r="F35" i="5"/>
  <c r="E35" i="5"/>
  <c r="D35" i="5"/>
  <c r="C35" i="5"/>
  <c r="B35" i="5"/>
  <c r="A35" i="5"/>
  <c r="G34" i="5"/>
  <c r="F34" i="5"/>
  <c r="E34" i="5"/>
  <c r="D34" i="5"/>
  <c r="C34" i="5"/>
  <c r="B34" i="5"/>
  <c r="A34" i="5"/>
  <c r="G33" i="5"/>
  <c r="F33" i="5"/>
  <c r="E33" i="5"/>
  <c r="D33" i="5"/>
  <c r="C33" i="5"/>
  <c r="B33" i="5"/>
  <c r="A33" i="5"/>
  <c r="G32" i="5"/>
  <c r="F32" i="5"/>
  <c r="E32" i="5"/>
  <c r="D32" i="5"/>
  <c r="C32" i="5"/>
  <c r="B32" i="5"/>
  <c r="A32" i="5"/>
  <c r="G31" i="5"/>
  <c r="F31" i="5"/>
  <c r="E31" i="5"/>
  <c r="D31" i="5"/>
  <c r="C31" i="5"/>
  <c r="B31" i="5"/>
  <c r="A31" i="5"/>
  <c r="G30" i="5"/>
  <c r="F30" i="5"/>
  <c r="E30" i="5"/>
  <c r="D30" i="5"/>
  <c r="C30" i="5"/>
  <c r="B30" i="5"/>
  <c r="A30" i="5"/>
  <c r="G29" i="5"/>
  <c r="F29" i="5"/>
  <c r="E29" i="5"/>
  <c r="D29" i="5"/>
  <c r="C29" i="5"/>
  <c r="B29" i="5"/>
  <c r="A29" i="5"/>
  <c r="G28" i="5"/>
  <c r="F28" i="5"/>
  <c r="E28" i="5"/>
  <c r="D28" i="5"/>
  <c r="C28" i="5"/>
  <c r="B28" i="5"/>
  <c r="A28" i="5"/>
  <c r="G27" i="5"/>
  <c r="F27" i="5"/>
  <c r="E27" i="5"/>
  <c r="D27" i="5"/>
  <c r="C27" i="5"/>
  <c r="B27" i="5"/>
  <c r="A27" i="5"/>
  <c r="G26" i="5"/>
  <c r="F26" i="5"/>
  <c r="E26" i="5"/>
  <c r="D26" i="5"/>
  <c r="C26" i="5"/>
  <c r="B26" i="5"/>
  <c r="A26" i="5"/>
  <c r="B25" i="5"/>
  <c r="A25" i="5"/>
  <c r="B24" i="5"/>
  <c r="A24" i="5"/>
  <c r="B23" i="5"/>
  <c r="A23" i="5"/>
  <c r="B22" i="5"/>
  <c r="A22" i="5"/>
  <c r="B21" i="5"/>
  <c r="A21" i="5"/>
  <c r="B20" i="5"/>
  <c r="A20" i="5"/>
  <c r="B19" i="5"/>
  <c r="A19" i="5"/>
  <c r="B18" i="5"/>
  <c r="A18" i="5"/>
  <c r="B17" i="5"/>
  <c r="A17" i="5"/>
  <c r="B16" i="5"/>
  <c r="A16" i="5"/>
  <c r="B15" i="5"/>
  <c r="A15" i="5"/>
  <c r="C14" i="5"/>
  <c r="B14" i="5"/>
  <c r="A14" i="5"/>
  <c r="B7" i="5"/>
  <c r="B8" i="5" s="1"/>
  <c r="B9" i="5" s="1"/>
  <c r="B171" i="3"/>
  <c r="G170" i="3"/>
  <c r="B170" i="3"/>
  <c r="A147" i="3"/>
  <c r="E88" i="3"/>
  <c r="I86" i="3"/>
  <c r="G77" i="3"/>
  <c r="B72" i="3"/>
  <c r="N23" i="2"/>
  <c r="D22" i="5" l="1"/>
  <c r="B10" i="5"/>
  <c r="D25" i="5" s="1"/>
  <c r="D15" i="5"/>
  <c r="D17" i="5"/>
  <c r="D20" i="5"/>
  <c r="D18" i="5"/>
  <c r="D24" i="5"/>
  <c r="D23" i="5"/>
  <c r="D16" i="5"/>
  <c r="D21" i="5"/>
  <c r="D14" i="5"/>
  <c r="D19" i="5"/>
  <c r="E14" i="5"/>
  <c r="F14" i="5" l="1"/>
  <c r="G14" i="5" s="1"/>
  <c r="C15" i="5" s="1"/>
  <c r="E15" i="5"/>
  <c r="F15" i="5"/>
  <c r="G15" i="5" s="1"/>
  <c r="C16" i="5" s="1"/>
  <c r="E16" i="5" l="1"/>
  <c r="F16" i="5" s="1"/>
  <c r="G16" i="5" s="1"/>
  <c r="C17" i="5" s="1"/>
  <c r="E17" i="5" l="1"/>
  <c r="F17" i="5" s="1"/>
  <c r="G17" i="5"/>
  <c r="C18" i="5" s="1"/>
  <c r="E18" i="5" l="1"/>
  <c r="F18" i="5" s="1"/>
  <c r="G18" i="5" s="1"/>
  <c r="C19" i="5" s="1"/>
  <c r="E19" i="5" l="1"/>
  <c r="F19" i="5" s="1"/>
  <c r="G19" i="5" s="1"/>
  <c r="C20" i="5" s="1"/>
  <c r="E20" i="5" l="1"/>
  <c r="F20" i="5" s="1"/>
  <c r="G20" i="5"/>
  <c r="C21" i="5" s="1"/>
  <c r="E21" i="5" l="1"/>
  <c r="F21" i="5" s="1"/>
  <c r="G21" i="5" s="1"/>
  <c r="C22" i="5" s="1"/>
  <c r="E22" i="5" l="1"/>
  <c r="F22" i="5" s="1"/>
  <c r="G22" i="5" s="1"/>
  <c r="C23" i="5" s="1"/>
  <c r="E23" i="5" l="1"/>
  <c r="F23" i="5" s="1"/>
  <c r="G23" i="5" s="1"/>
  <c r="C24" i="5" s="1"/>
  <c r="E24" i="5" l="1"/>
  <c r="F24" i="5" s="1"/>
  <c r="G24" i="5" s="1"/>
  <c r="C25" i="5" s="1"/>
  <c r="E25" i="5" l="1"/>
  <c r="F25" i="5" s="1"/>
  <c r="G25" i="5" s="1"/>
</calcChain>
</file>

<file path=xl/sharedStrings.xml><?xml version="1.0" encoding="utf-8"?>
<sst xmlns="http://schemas.openxmlformats.org/spreadsheetml/2006/main" count="869" uniqueCount="844">
  <si>
    <t>UPDATED 01/02/2024</t>
  </si>
  <si>
    <t>Code</t>
  </si>
  <si>
    <t>Department</t>
  </si>
  <si>
    <t>A3</t>
  </si>
  <si>
    <t>Paediatrics (IDRM)</t>
  </si>
  <si>
    <t>A5</t>
  </si>
  <si>
    <t>DPAG Bionanoscience</t>
  </si>
  <si>
    <t>AB</t>
  </si>
  <si>
    <t>Pitt Rivers Museum</t>
  </si>
  <si>
    <t>AC</t>
  </si>
  <si>
    <t>School of Geography and the Environment</t>
  </si>
  <si>
    <t>AE</t>
  </si>
  <si>
    <t>Social and Cultural Anthropology</t>
  </si>
  <si>
    <t>AF</t>
  </si>
  <si>
    <t>Environmental Change Institute</t>
  </si>
  <si>
    <t>AJ</t>
  </si>
  <si>
    <t>Target Discovery Institute</t>
  </si>
  <si>
    <t>AK</t>
  </si>
  <si>
    <t>AL</t>
  </si>
  <si>
    <t>Biochemistry</t>
  </si>
  <si>
    <t>AM</t>
  </si>
  <si>
    <t>Statistics</t>
  </si>
  <si>
    <t>AN</t>
  </si>
  <si>
    <t>Oncology</t>
  </si>
  <si>
    <t>AP</t>
  </si>
  <si>
    <t>Biology - Plant Sciences</t>
  </si>
  <si>
    <t>AS</t>
  </si>
  <si>
    <t>Physiology</t>
  </si>
  <si>
    <t>AT</t>
  </si>
  <si>
    <t>Biology - Zoology</t>
  </si>
  <si>
    <t>AU</t>
  </si>
  <si>
    <t>Experimental Psychology - LaMB shared building services</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</si>
  <si>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</si>
  <si>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</si>
  <si>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</si>
  <si>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</si>
  <si>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</si>
  <si>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</si>
  <si>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</si>
  <si>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</si>
  <si>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</si>
  <si>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</si>
  <si>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</si>
  <si>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</si>
  <si>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</si>
  <si>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</si>
  <si>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</si>
  <si>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</si>
  <si>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</si>
  <si>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</si>
  <si>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</si>
  <si>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</si>
  <si>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</si>
  <si>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</si>
  <si>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</si>
  <si>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</si>
  <si>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</si>
  <si>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</si>
  <si>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</si>
  <si>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</si>
  <si>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</si>
  <si>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</si>
  <si>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</si>
  <si>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</si>
  <si>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</si>
  <si>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</si>
  <si>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</si>
  <si>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</si>
  <si>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</si>
  <si>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</si>
  <si>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</si>
  <si>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</si>
  <si>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</si>
  <si>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</si>
  <si>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</si>
  <si>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</si>
  <si>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</si>
  <si>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</si>
  <si>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C1</t>
  </si>
  <si>
    <t>NDM Ops</t>
  </si>
  <si>
    <t>CA</t>
  </si>
  <si>
    <t>Medieval and Modern Languages Faculty</t>
  </si>
  <si>
    <t>CB</t>
  </si>
  <si>
    <t>Biology</t>
  </si>
  <si>
    <t>CC</t>
  </si>
  <si>
    <t>RDM</t>
  </si>
  <si>
    <t>CD</t>
  </si>
  <si>
    <t>History Faculty</t>
  </si>
  <si>
    <t>CF</t>
  </si>
  <si>
    <t>RDM Investigative Medicine</t>
  </si>
  <si>
    <t>CG</t>
  </si>
  <si>
    <t>Music Faculty</t>
  </si>
  <si>
    <t>CJ</t>
  </si>
  <si>
    <t>MRC Brain Network Dynamics Unit (BNDU)</t>
  </si>
  <si>
    <t>CK</t>
  </si>
  <si>
    <t>Faculty of Asian and Middle Eastern Studies</t>
  </si>
  <si>
    <t>CL</t>
  </si>
  <si>
    <t>NDPH Demography</t>
  </si>
  <si>
    <t>CM</t>
  </si>
  <si>
    <t>NDM</t>
  </si>
  <si>
    <t>CN</t>
  </si>
  <si>
    <t>NDM (CAMS)</t>
  </si>
  <si>
    <t>CQ</t>
  </si>
  <si>
    <t>Experimental Psychology</t>
  </si>
  <si>
    <t>CR</t>
  </si>
  <si>
    <t>BDI-NDM</t>
  </si>
  <si>
    <t>CT</t>
  </si>
  <si>
    <t>Politics and International Relations</t>
  </si>
  <si>
    <t>CU</t>
  </si>
  <si>
    <t>Economics</t>
  </si>
  <si>
    <t>CV</t>
  </si>
  <si>
    <t>Social Policy and Intervention</t>
  </si>
  <si>
    <t>CW</t>
  </si>
  <si>
    <t>NDM Immuno-Oncology</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</si>
  <si>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</si>
  <si>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</si>
  <si>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</si>
  <si>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</si>
  <si>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</si>
  <si>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</si>
  <si>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</si>
  <si>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</si>
  <si>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</si>
  <si>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</si>
  <si>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</si>
  <si>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</si>
  <si>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</si>
  <si>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</si>
  <si>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</si>
  <si>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</si>
  <si>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</si>
  <si>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</si>
  <si>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</si>
  <si>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</si>
  <si>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</si>
  <si>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</si>
  <si>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</si>
  <si>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</si>
  <si>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</si>
  <si>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</si>
  <si>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</si>
  <si>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</si>
  <si>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</si>
  <si>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</si>
  <si>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</si>
  <si>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</si>
  <si>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</si>
  <si>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</si>
  <si>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</si>
  <si>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</si>
  <si>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</si>
  <si>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</si>
  <si>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</si>
  <si>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</si>
  <si>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</si>
  <si>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</si>
  <si>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</si>
  <si>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</si>
  <si>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</si>
  <si>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</si>
  <si>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</si>
  <si>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</si>
  <si>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</si>
  <si>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</si>
  <si>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</si>
  <si>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</si>
  <si>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</si>
  <si>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</si>
  <si>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</si>
  <si>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</si>
  <si>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</si>
  <si>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</si>
  <si>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</si>
  <si>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</si>
  <si>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</si>
  <si>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</si>
  <si>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</si>
  <si>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</si>
  <si>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</si>
  <si>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</si>
  <si>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</si>
  <si>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</si>
  <si>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</si>
  <si>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</si>
  <si>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</si>
  <si>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</si>
  <si>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</si>
  <si>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</si>
  <si>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</si>
  <si>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</si>
  <si>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</si>
  <si>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</si>
  <si>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</si>
  <si>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</si>
  <si>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</si>
  <si>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</si>
  <si>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</si>
  <si>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</si>
  <si>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</si>
  <si>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</si>
  <si>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</si>
  <si>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</si>
  <si>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</si>
  <si>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</si>
  <si>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</si>
  <si>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</si>
  <si>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</si>
  <si>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</si>
  <si>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</si>
  <si>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</si>
  <si>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</si>
  <si>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</si>
  <si>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</si>
  <si>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</si>
  <si>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</si>
  <si>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</si>
  <si>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</si>
  <si>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</si>
  <si>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</si>
  <si>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</si>
  <si>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</si>
  <si>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</si>
  <si>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</si>
  <si>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</si>
  <si>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</si>
  <si>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</si>
  <si>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</si>
  <si>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</si>
  <si>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</si>
  <si>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</si>
  <si>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</si>
  <si>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</si>
  <si>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</si>
  <si>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</si>
  <si>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</si>
  <si>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</si>
  <si>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</si>
  <si>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</si>
  <si>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</si>
  <si>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</si>
  <si>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</si>
  <si>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The Centre for Human Genetics</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</si>
  <si>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</si>
  <si>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</si>
  <si>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</si>
  <si>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</si>
  <si>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</si>
  <si>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</si>
  <si>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</si>
  <si>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</si>
  <si>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</si>
  <si>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</si>
  <si>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</si>
  <si>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</si>
  <si>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</si>
  <si>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Nuffield Department of Women’s &amp; Reproductive Health</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</si>
  <si>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</si>
  <si>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</si>
  <si>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</si>
  <si>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</si>
  <si>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</si>
  <si>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</si>
  <si>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</si>
  <si>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</si>
  <si>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</si>
  <si>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</si>
  <si>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</si>
  <si>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</si>
  <si>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</si>
  <si>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</si>
  <si>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</si>
  <si>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</si>
  <si>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</si>
  <si>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</si>
  <si>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</si>
  <si>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</si>
  <si>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</si>
  <si>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</si>
  <si>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</si>
  <si>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</si>
  <si>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</si>
  <si>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</si>
  <si>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</si>
  <si>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</si>
  <si>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</si>
  <si>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</si>
  <si>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</si>
  <si>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</si>
  <si>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</si>
  <si>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</si>
  <si>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</si>
  <si>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</si>
  <si>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</si>
  <si>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</si>
  <si>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</si>
  <si>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</si>
  <si>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</si>
  <si>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</si>
  <si>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</si>
  <si>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</si>
  <si>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</si>
  <si>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</si>
  <si>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</si>
  <si>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</si>
  <si>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</si>
  <si>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</si>
  <si>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</si>
  <si>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</si>
  <si>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</si>
  <si>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</si>
  <si>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</si>
  <si>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</si>
  <si>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</si>
  <si>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</si>
  <si>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</si>
  <si>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</si>
  <si>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</si>
  <si>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</si>
  <si>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</si>
  <si>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</si>
  <si>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</si>
  <si>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</si>
  <si>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</si>
  <si>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</si>
  <si>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L4</t>
  </si>
  <si>
    <t>Development &amp; External Affairs Directorate</t>
  </si>
  <si>
    <t>LA</t>
  </si>
  <si>
    <t>Oxford-Man Institute</t>
  </si>
  <si>
    <t>LB</t>
  </si>
  <si>
    <t>Ageing Institute (OIA)</t>
  </si>
  <si>
    <t>LC</t>
  </si>
  <si>
    <t>Oxford Martin School</t>
  </si>
  <si>
    <t>LD</t>
  </si>
  <si>
    <t>Smith School</t>
  </si>
  <si>
    <t>LE</t>
  </si>
  <si>
    <t>Blavatnik School of Government</t>
  </si>
  <si>
    <t>M1</t>
  </si>
  <si>
    <t>Rothermere American Institute</t>
  </si>
  <si>
    <t>M3</t>
  </si>
  <si>
    <t>Oxford School of Global and Area Studies (was SIAS)</t>
  </si>
  <si>
    <t>MQ</t>
  </si>
  <si>
    <t>Said Business School</t>
  </si>
  <si>
    <t>PS</t>
  </si>
  <si>
    <t>NDM - Pandemic Sciences Institute</t>
  </si>
  <si>
    <t>S1</t>
  </si>
  <si>
    <t>Reuben College</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</si>
  <si>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</si>
  <si>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</si>
  <si>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</si>
  <si>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</si>
  <si>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</si>
  <si>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</si>
  <si>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</si>
  <si>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</si>
  <si>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</si>
  <si>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</si>
  <si>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</si>
  <si>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</si>
  <si>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</si>
  <si>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</si>
  <si>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</si>
  <si>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</si>
  <si>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</si>
  <si>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</si>
  <si>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</si>
  <si>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</si>
  <si>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</si>
  <si>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</si>
  <si>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</si>
  <si>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</si>
  <si>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</si>
  <si>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</si>
  <si>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</si>
  <si>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</si>
  <si>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</si>
  <si>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</si>
  <si>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</si>
  <si>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</si>
  <si>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</si>
  <si>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</si>
  <si>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</si>
  <si>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</si>
  <si>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</si>
  <si>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</si>
  <si>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</si>
  <si>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</si>
  <si>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</si>
  <si>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</si>
  <si>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</si>
  <si>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</si>
  <si>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</si>
  <si>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</si>
  <si>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</si>
  <si>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</si>
  <si>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</si>
  <si>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</si>
  <si>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</si>
  <si>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</si>
  <si>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</si>
  <si>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</si>
  <si>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</si>
  <si>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</si>
  <si>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</si>
  <si>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</si>
  <si>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 select -</t>
  </si>
  <si>
    <t>Application fees as of:</t>
  </si>
  <si>
    <t>Title</t>
  </si>
  <si>
    <t>Country of Nationality list</t>
  </si>
  <si>
    <t>Visa application type</t>
  </si>
  <si>
    <t>max LENGTH (years)</t>
  </si>
  <si>
    <t>Visa type</t>
  </si>
  <si>
    <t>INSIDE the UK</t>
  </si>
  <si>
    <t>Dependants IN</t>
  </si>
  <si>
    <t>OUTSIDE the UK</t>
  </si>
  <si>
    <t>Dependants OUT</t>
  </si>
  <si>
    <t>NHS Surcharge (per annum) w.e.f. 06/02/2024</t>
  </si>
  <si>
    <t>---</t>
  </si>
  <si>
    <t>Global Talent (previously called Tier 1 Exceptional Talent)</t>
  </si>
  <si>
    <t>Partner / Child (over 18)</t>
  </si>
  <si>
    <t>Prof</t>
  </si>
  <si>
    <t>Afghanistan</t>
  </si>
  <si>
    <t>Skilled Worker - up to 3 years (previously called Tier 2)</t>
  </si>
  <si>
    <t>Child (under 18)</t>
  </si>
  <si>
    <t>Dr</t>
  </si>
  <si>
    <t>Aland Islands</t>
  </si>
  <si>
    <t>Skilled Worker - over 3 up to 5 years (previously called Tier 2)</t>
  </si>
  <si>
    <t>Mr</t>
  </si>
  <si>
    <t>Albania</t>
  </si>
  <si>
    <t>Graduate</t>
  </si>
  <si>
    <t>Max loan amount</t>
  </si>
  <si>
    <t>Mrs</t>
  </si>
  <si>
    <t>Algeria</t>
  </si>
  <si>
    <t>Spouse/partner of UK national or settled person</t>
  </si>
  <si>
    <t>Ms</t>
  </si>
  <si>
    <t>American Samoa</t>
  </si>
  <si>
    <t>UK Ancestry</t>
  </si>
  <si>
    <t>Miss</t>
  </si>
  <si>
    <t>Andorra</t>
  </si>
  <si>
    <t>BN(O) - British National (Overseas) - 2 1/2 years</t>
  </si>
  <si>
    <t>Max repayment length (months)</t>
  </si>
  <si>
    <t>Rev</t>
  </si>
  <si>
    <t>Angola</t>
  </si>
  <si>
    <t>BN(O) - British National (Overseas) - 5 years</t>
  </si>
  <si>
    <t>Right Hon</t>
  </si>
  <si>
    <t>Anguilla</t>
  </si>
  <si>
    <t>5 year ILR (Indefinite Leave to Remain)</t>
  </si>
  <si>
    <t>Ambassador</t>
  </si>
  <si>
    <t>Antarctica</t>
  </si>
  <si>
    <t>indefinite</t>
  </si>
  <si>
    <t>10 year 'Long residence' ILR (Indefinite Leave to Remain)</t>
  </si>
  <si>
    <t>Antigua and Barbuda</t>
  </si>
  <si>
    <t>Naturalise as British citizen</t>
  </si>
  <si>
    <t>Dept/ Faculty reimbursing for main applicant?</t>
  </si>
  <si>
    <t>Argentina</t>
  </si>
  <si>
    <t>Register as a British citizen (child under 18)</t>
  </si>
  <si>
    <t>Armenia</t>
  </si>
  <si>
    <t>Visa fee</t>
  </si>
  <si>
    <t>Aruba</t>
  </si>
  <si>
    <t>NHS</t>
  </si>
  <si>
    <t>Australia</t>
  </si>
  <si>
    <t>Austria</t>
  </si>
  <si>
    <t>Azerbaijan</t>
  </si>
  <si>
    <t>Declaration ticked</t>
  </si>
  <si>
    <t>Bahamas</t>
  </si>
  <si>
    <t>Bahrain</t>
  </si>
  <si>
    <t>Bangladesh</t>
  </si>
  <si>
    <t>Bank</t>
  </si>
  <si>
    <t>Barbados</t>
  </si>
  <si>
    <t>Belarus</t>
  </si>
  <si>
    <t>Belgium</t>
  </si>
  <si>
    <t>Belize</t>
  </si>
  <si>
    <t>Benin</t>
  </si>
  <si>
    <t>Bermuda</t>
  </si>
  <si>
    <t>Bhutan</t>
  </si>
  <si>
    <t>Bolivia</t>
  </si>
  <si>
    <t>Bonaire, Sint Eustatuis &amp; Saba</t>
  </si>
  <si>
    <t>Bosnia and Herzegovina</t>
  </si>
  <si>
    <t>Botswana</t>
  </si>
  <si>
    <t>Bouvet Island</t>
  </si>
  <si>
    <t>Brazil</t>
  </si>
  <si>
    <t>British Citizen</t>
  </si>
  <si>
    <t>British Indean Ocean Territory</t>
  </si>
  <si>
    <t>British National (Overseas)</t>
  </si>
  <si>
    <t>British Overseas Citizen</t>
  </si>
  <si>
    <t>British Overseas Territories Citizenship (BOTC)</t>
  </si>
  <si>
    <t>British Protected Person</t>
  </si>
  <si>
    <t>British Subject</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</si>
  <si>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</si>
  <si>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</si>
  <si>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</si>
  <si>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</si>
  <si>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</si>
  <si>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</si>
  <si>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</si>
  <si>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</si>
  <si>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</si>
  <si>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</si>
  <si>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</si>
  <si>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</si>
  <si>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</si>
  <si>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</si>
  <si>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</si>
  <si>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</si>
  <si>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</si>
  <si>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</si>
  <si>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</si>
  <si>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</si>
  <si>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 (Ivory Coast)</t>
  </si>
  <si>
    <t>Croatia</t>
  </si>
  <si>
    <t>Cuba</t>
  </si>
  <si>
    <t>Curacao</t>
  </si>
  <si>
    <t>Cyprus (Republic of Cyprus)</t>
  </si>
  <si>
    <t>Czech Republic</t>
  </si>
  <si>
    <t>Democratic People's Republic of Korea (North Korea)</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</si>
  <si>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</si>
  <si>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</si>
  <si>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</si>
  <si>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</si>
  <si>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</si>
  <si>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</si>
  <si>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</si>
  <si>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</si>
  <si>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</si>
  <si>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</si>
  <si>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</si>
  <si>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</si>
  <si>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</si>
  <si>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 (The Faroes)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</si>
  <si>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</si>
  <si>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</si>
  <si>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</si>
  <si>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</si>
  <si>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</si>
  <si>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</si>
  <si>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</si>
  <si>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</si>
  <si>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</si>
  <si>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</si>
  <si>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</si>
  <si>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</si>
  <si>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</si>
  <si>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</si>
  <si>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</si>
  <si>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</si>
  <si>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</si>
  <si>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</si>
  <si>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</si>
  <si>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</si>
  <si>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</si>
  <si>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</si>
  <si>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</si>
  <si>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</si>
  <si>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</si>
  <si>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</si>
  <si>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</si>
  <si>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</si>
  <si>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</si>
  <si>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</si>
  <si>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</si>
  <si>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</si>
  <si>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</si>
  <si>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</si>
  <si>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</si>
  <si>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</si>
  <si>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</si>
  <si>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</si>
  <si>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</si>
  <si>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</si>
  <si>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</si>
  <si>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</si>
  <si>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</si>
  <si>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Kosovo</t>
  </si>
  <si>
    <t>Kuwait</t>
  </si>
  <si>
    <t>Kyrgyzstan</t>
  </si>
  <si>
    <t>Lao People's Democratic Republic</t>
  </si>
  <si>
    <t>Latvia</t>
  </si>
  <si>
    <t>Lebanon</t>
  </si>
  <si>
    <t>Lesotho</t>
  </si>
  <si>
    <t>Liberia</t>
  </si>
  <si>
    <t>Libya</t>
  </si>
  <si>
    <t>Liechtenstein</t>
  </si>
  <si>
    <t>Lithuania</t>
  </si>
  <si>
    <t>Luxembourg</t>
  </si>
  <si>
    <t>Macau</t>
  </si>
  <si>
    <t>Macedonia, The Former Yugoslav Republic of</t>
  </si>
  <si>
    <t>Madagascar</t>
  </si>
  <si>
    <t>Malawi</t>
  </si>
  <si>
    <t>Malaysia</t>
  </si>
  <si>
    <t>Maldives</t>
  </si>
  <si>
    <t>Mali</t>
  </si>
  <si>
    <t>Malta</t>
  </si>
  <si>
    <t>Marshall Islands</t>
  </si>
  <si>
    <t>Martinique</t>
  </si>
  <si>
    <t>Mauritania</t>
  </si>
  <si>
    <t>Mauritius</t>
  </si>
  <si>
    <t>Mayette</t>
  </si>
  <si>
    <t>Mexico</t>
  </si>
  <si>
    <t>Micronesia (Federated States of)</t>
  </si>
  <si>
    <t>Moldova, Republic of</t>
  </si>
  <si>
    <t>Monaco</t>
  </si>
  <si>
    <t>Mongolia</t>
  </si>
  <si>
    <t>Montenegro</t>
  </si>
  <si>
    <t>Montserrat</t>
  </si>
  <si>
    <t>Morocco</t>
  </si>
  <si>
    <t>Mozambique</t>
  </si>
  <si>
    <t>Myanmar (Burma)</t>
  </si>
  <si>
    <t>Namibia</t>
  </si>
  <si>
    <t>Nationality Currently Unkown</t>
  </si>
  <si>
    <t>Nauru</t>
  </si>
  <si>
    <t>Nepal</t>
  </si>
  <si>
    <t>Netherlands</t>
  </si>
  <si>
    <t>New Caledonia</t>
  </si>
  <si>
    <t>New Zealand</t>
  </si>
  <si>
    <t>Nicaragua</t>
  </si>
  <si>
    <t>Niger</t>
  </si>
  <si>
    <t>Nigeria</t>
  </si>
  <si>
    <t>Niue</t>
  </si>
  <si>
    <t>Norfork Island</t>
  </si>
  <si>
    <t>Northern Mariana Islands</t>
  </si>
  <si>
    <t>Norway</t>
  </si>
  <si>
    <t>Officially Stateless</t>
  </si>
  <si>
    <t>Oman</t>
  </si>
  <si>
    <t>Pakistan</t>
  </si>
  <si>
    <t>Palau</t>
  </si>
  <si>
    <t>Palestine Occupied Territory</t>
  </si>
  <si>
    <t>Panama</t>
  </si>
  <si>
    <t>Papua New Guinea</t>
  </si>
  <si>
    <t>Paraguay</t>
  </si>
  <si>
    <t>Peru</t>
  </si>
  <si>
    <t>Philippines</t>
  </si>
  <si>
    <t>Pitcairn (&amp; Henderson, Dulcie and Oeno Islands)</t>
  </si>
  <si>
    <t>Poland</t>
  </si>
  <si>
    <t>Portugal</t>
  </si>
  <si>
    <t>Puerto Rico</t>
  </si>
  <si>
    <t>Qatar</t>
  </si>
  <si>
    <t>Refugee - Article 1 of the 1951 Convention</t>
  </si>
  <si>
    <t>Reunion</t>
  </si>
  <si>
    <t>Romania</t>
  </si>
  <si>
    <t>Russian Federation</t>
  </si>
  <si>
    <t>Rwanda</t>
  </si>
  <si>
    <t>Saint Barthelemy</t>
  </si>
  <si>
    <t>Saint Helena, Ascencion and Tristan da Cunha</t>
  </si>
  <si>
    <t>Saint Kitts and Nevis</t>
  </si>
  <si>
    <t>Saint Lucia</t>
  </si>
  <si>
    <t>Saint Martin</t>
  </si>
  <si>
    <t>Saint Pierre and Miquelon</t>
  </si>
  <si>
    <t>Saint Vincent and the Grenadines</t>
  </si>
  <si>
    <t>Samoa (and Western 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</si>
  <si>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</si>
  <si>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</si>
  <si>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</si>
  <si>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</si>
  <si>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</si>
  <si>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</si>
  <si>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</si>
  <si>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</si>
  <si>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</si>
  <si>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</si>
  <si>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</si>
  <si>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</si>
  <si>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</si>
  <si>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</si>
  <si>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</si>
  <si>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Korea (Republic of Korea)</t>
  </si>
  <si>
    <t>South Sudan</t>
  </si>
  <si>
    <t>Spain</t>
  </si>
  <si>
    <t>Sri Lanka</t>
  </si>
  <si>
    <t>Stateless Person (Article 1 of 1954 Convention)</t>
  </si>
  <si>
    <t>Stateless Refugee Other</t>
  </si>
  <si>
    <t>Sudan</t>
  </si>
  <si>
    <t>Suriname</t>
  </si>
  <si>
    <t>Svalbard and Jan Mayen Islands</t>
  </si>
  <si>
    <t>Swaziland</t>
  </si>
  <si>
    <t>Sweden</t>
  </si>
  <si>
    <t>Switzerland</t>
  </si>
  <si>
    <t>Syria Arab Republic</t>
  </si>
  <si>
    <t>Taiwan (Republic of China)</t>
  </si>
  <si>
    <t>Tajikistan</t>
  </si>
  <si>
    <t>Tanzania, United Republic Of</t>
  </si>
  <si>
    <t>Thailand</t>
  </si>
  <si>
    <t>Timor-Leste (East Timor)</t>
  </si>
  <si>
    <t>Togo</t>
  </si>
  <si>
    <t>Tokelau</t>
  </si>
  <si>
    <t>Tonga</t>
  </si>
  <si>
    <t>Trinidad and Tobago</t>
  </si>
  <si>
    <t>Tunisia</t>
  </si>
  <si>
    <t>Turkey</t>
  </si>
  <si>
    <t>Turkish Controlled Area of Cyprus</t>
  </si>
  <si>
    <t>Turkmenistan</t>
  </si>
  <si>
    <t>Turks and Caicos Islands</t>
  </si>
  <si>
    <t>Tuvalu</t>
  </si>
  <si>
    <t>Uganda</t>
  </si>
  <si>
    <t>Ukraine</t>
  </si>
  <si>
    <t>United Arab Emirates</t>
  </si>
  <si>
    <t>UK</t>
  </si>
  <si>
    <t>United Kingdom</t>
  </si>
  <si>
    <t>United Nations</t>
  </si>
  <si>
    <t>United Nations Agency</t>
  </si>
  <si>
    <t>United States Minor Outlying Islands</t>
  </si>
  <si>
    <t>USA</t>
  </si>
  <si>
    <t>United States of America</t>
  </si>
  <si>
    <t>Unspecified Nationality</t>
  </si>
  <si>
    <t>Uruguay</t>
  </si>
  <si>
    <t>USSR</t>
  </si>
  <si>
    <t>Uzbekistan</t>
  </si>
  <si>
    <t>Vanuatu</t>
  </si>
  <si>
    <t>Venezuela</t>
  </si>
  <si>
    <t>Vietnam</t>
  </si>
  <si>
    <t>Virgin Islands, British</t>
  </si>
  <si>
    <t>Virgin Islands, U.S.</t>
  </si>
  <si>
    <t>Wallis and Futuna Islands</t>
  </si>
  <si>
    <t>Western Sahara</t>
  </si>
  <si>
    <t>Yemen</t>
  </si>
  <si>
    <t>Zambia</t>
  </si>
  <si>
    <t>Zimbabwe</t>
  </si>
  <si>
    <t>Rental Deposit Loan</t>
  </si>
  <si>
    <t>Purpose of loan</t>
  </si>
  <si>
    <t>The University of Oxford is able to provide an interest free loan to new salaried* employees moving to Oxford. To be eligible, you need to be moving from more than 25 miles away from Oxford to within 25 miles of Oxford.</t>
  </si>
  <si>
    <t>The loan will be made available to new salaried employees following completion of all conditions of a formal job offer from the University of Oxford.</t>
  </si>
  <si>
    <t>The University of Oxford’s preferred method of payment is by bank transfer once employment has commenced, however, if a loan is needed at the point that the moving fees is paid, this can be arranged.</t>
  </si>
  <si>
    <t>Loan Conditions</t>
  </si>
  <si>
    <t>The applicant must be a newly appointed salaried employee, which includes employees on permanent, fixed-term and open-ended contracts. Unforunately, casual workers are not eligible.</t>
  </si>
  <si>
    <t>The applicant must have completed all conditions and signed and returned their contract.</t>
  </si>
  <si>
    <t xml:space="preserve">The applicant must be moving from more than 25 miles away from Oxford to within 25 miles of Oxford (defined as the Bodleian Library, Broad Street, OX1 3BG). </t>
  </si>
  <si>
    <t>The applicant must have a copy of the tenancy agreement, which should include the deposit amount, monthly rent amount and any other fees, or a letter on letting agency's headed paper with the same details.</t>
  </si>
  <si>
    <t>The loan will be for no other costs than those mentioned in the Purpose of loan section above.</t>
  </si>
  <si>
    <t>The loan will be recovered over a maximum 12 month period unless the duration of the contract is less, or if a shorter period is specified by the applicant; in which case the loan will be recovered over the period of the contract, or the period specified by the applicant.</t>
  </si>
  <si>
    <t>If the employee leaves University of Oxford’s employment before the loan is repaid the outstanding debt will be deducted from their final payment, or, if this is insufficient, they will have to repay the outstanding balance within 14 days of the last day of employment.</t>
  </si>
  <si>
    <t>If the applicant decides not to take up the employment offered, they will have to repay the loan within 14 days of the notification of the decision not to take up employment.</t>
  </si>
  <si>
    <t>The department or faculty will be required to underwrite the loan.</t>
  </si>
  <si>
    <t>The maximum loan allowed under this scheme is set at £3,000</t>
  </si>
  <si>
    <t>Procedure</t>
  </si>
  <si>
    <t>Step 1</t>
  </si>
  <si>
    <t>The applicant completes Section 1 of this form and emails it to their departmental/ faculty HR contact.</t>
  </si>
  <si>
    <t>Step 2</t>
  </si>
  <si>
    <t>The departmental/faculty HR contact completes Section 2 of this form and arranges approval of the loan from the Head of Department/Faculty or Head of Administration.</t>
  </si>
  <si>
    <t>Step 3</t>
  </si>
  <si>
    <t>Email the completed form to mailto:payroll@admin.ox.ac.uk where the Payroll Operations Manager will check and process the application.</t>
  </si>
  <si>
    <t>PLEASE NOTE: this form is for internal use within the University of Oxford only. The form must be completed on a PC, as certain features do not work if completed in Excel online or on a Mac.</t>
  </si>
  <si>
    <t>If you have any queries regarding this form please contact</t>
  </si>
  <si>
    <t>payroll@admin.ox.ac.uk</t>
  </si>
  <si>
    <t>SECTION 1: (to be completed by the applicant)</t>
  </si>
  <si>
    <t xml:space="preserve">Please complete all relevant fields in this section and then submit to your departmental/ faculty HR contact who will arrange authorisation.  </t>
  </si>
  <si>
    <t>PART A: Applicant(s) details</t>
  </si>
  <si>
    <t>Title (e.g. Prof, Dr, Mr, Mrs, Ms etc.)</t>
  </si>
  <si>
    <t>Last name</t>
  </si>
  <si>
    <t>First name(s)</t>
  </si>
  <si>
    <t xml:space="preserve">Current Address </t>
  </si>
  <si>
    <t>Address  line 1</t>
  </si>
  <si>
    <t>Address line 2</t>
  </si>
  <si>
    <t xml:space="preserve">     Address line 3</t>
  </si>
  <si>
    <t xml:space="preserve">                                      Town/City</t>
  </si>
  <si>
    <t xml:space="preserve">    Post Code</t>
  </si>
  <si>
    <t>Email address</t>
  </si>
  <si>
    <t>Contact Phone number</t>
  </si>
  <si>
    <t>(we will use these details to advise you when the funds are available)</t>
  </si>
  <si>
    <t>Department / Faculty</t>
  </si>
  <si>
    <t>PART B: Details of loan requested</t>
  </si>
  <si>
    <t>Repayment calculation</t>
  </si>
  <si>
    <t>Loan Value</t>
  </si>
  <si>
    <t>Monthly Deductions</t>
  </si>
  <si>
    <t>Loan Period (Max 12 months)</t>
  </si>
  <si>
    <t xml:space="preserve"> </t>
  </si>
  <si>
    <t>TOTALS:</t>
  </si>
  <si>
    <t>Maximum loan allowed is £3,000</t>
  </si>
  <si>
    <t xml:space="preserve">Please enter the loan amount you wish to request: </t>
  </si>
  <si>
    <t>SECTION 1 continued: (to be completed by the applicant)</t>
  </si>
  <si>
    <t>PART C: Payment details</t>
  </si>
  <si>
    <t>If already a University of Oxford employee please provide your Personnel/Payroll No:</t>
  </si>
  <si>
    <t>If you are a prospective employee please instead enter 'New Starter'.</t>
  </si>
  <si>
    <t>Please provide details of the bank account you require the money to be paid to, ensuring the details are correct.</t>
  </si>
  <si>
    <t>Please tick to indicate if your bank is:</t>
  </si>
  <si>
    <t>OR</t>
  </si>
  <si>
    <t>Name of Bank</t>
  </si>
  <si>
    <t>Address of Bank</t>
  </si>
  <si>
    <t>Address line 1</t>
  </si>
  <si>
    <t>Address line 3</t>
  </si>
  <si>
    <t>Town/City</t>
  </si>
  <si>
    <t>Post Code</t>
  </si>
  <si>
    <t>Name of account holder</t>
  </si>
  <si>
    <t>Swift (non UK) OR Sort (UK) Code</t>
  </si>
  <si>
    <t>Account number</t>
  </si>
  <si>
    <t>IBAN number (non UK only)</t>
  </si>
  <si>
    <t>PLEASE NOTE: The bank account to be credited should be in the applicant's name.</t>
  </si>
  <si>
    <t>PART D: Repayment details</t>
  </si>
  <si>
    <t>Contract end date, if known (if on a permanent contract please leave blank)</t>
  </si>
  <si>
    <t>Repayment of the rental deposit loan will commence with the first salary payment after the loan has been made. Repayments will be made over a maximum of 12 months, unless the contract or end date is less than 12 months, when recovery will be over the duration of the contract date if less.</t>
  </si>
  <si>
    <t>If you wish the loan to be recovered over a period shorter than 12 months, please enter the number of months you wish the debt to be recovered.</t>
  </si>
  <si>
    <t xml:space="preserve">Please confirm you understand (by ticking the box) that in the event you leave the University of Oxford before the loan has been fully recovered, the outstanding debt will be deducted from your final payment, or, if this is insufficient, you undertake to repay the balance within 14 days of the last day of employment; and if you decide not to take up employment you undertake to repay the loan within 14 days of the notification not to take  up employment.        </t>
  </si>
  <si>
    <t xml:space="preserve">
Please confirm that you understand the following statement by ticking the box, below. If the total value of all loans provided by the university does not exceed £10,000 at any point during the tax year, there is no taxable benefit and no reporting obligation to HMRC
If the loan exceeds £10,000, it becomes a beneficial loan and is treated as a taxable benefit in kind by HMRC. You may be taxed on the difference between the interest charged (if any) and the HMRC official rate of interest, currently set at 2.25% for 2025/26. Please refer to the guidance notes for further information.</t>
  </si>
  <si>
    <t>Please enter your name and the date to confirm you have read and understood the loan conditions, and that the information you have provided is to the best of your knowledge, complete, true and correct.</t>
  </si>
  <si>
    <t>Electronic Signature (please insert initials and surname as electronic signature)</t>
  </si>
  <si>
    <t>Full Name</t>
  </si>
  <si>
    <t>Date (DD/MM/YYYY)</t>
  </si>
  <si>
    <t xml:space="preserve">Please send your completed form electronically to your HR department who will arrange for it to be approved by the Head of Department/ Faculty or Head of Administration and sent to Payroll. </t>
  </si>
  <si>
    <t xml:space="preserve">Loan will be recovered over </t>
  </si>
  <si>
    <t>months</t>
  </si>
  <si>
    <t>SECTION 2: (to be completed by the Department/Faculty)</t>
  </si>
  <si>
    <t>By providing your details below and submitting this form to Payroll via email you are confirming that:</t>
  </si>
  <si>
    <t>To the best of your knowledge, the information provided by the applicant is correct;</t>
  </si>
  <si>
    <t>The Department/ Faculty will not reimburse relocation cost if claimed; and</t>
  </si>
  <si>
    <t>Any amount not recovered from the individual will be met from Department/Faculty funds.</t>
  </si>
  <si>
    <t>Head of Department or delegated authority</t>
  </si>
  <si>
    <t>Department/ Faculty</t>
  </si>
  <si>
    <t>Position</t>
  </si>
  <si>
    <t>Telephone</t>
  </si>
  <si>
    <t>Email</t>
  </si>
  <si>
    <t>Department/ Faculty cost code any amount not recovered from the individual will be charged to:</t>
  </si>
  <si>
    <t>Cost Centre</t>
  </si>
  <si>
    <t>natural account</t>
  </si>
  <si>
    <t>activity</t>
  </si>
  <si>
    <t xml:space="preserve">  source of funds</t>
  </si>
  <si>
    <t>organisation</t>
  </si>
  <si>
    <t>future</t>
  </si>
  <si>
    <t>00</t>
  </si>
  <si>
    <t>00000</t>
  </si>
  <si>
    <t>000000</t>
  </si>
  <si>
    <t>e.g. AB0000</t>
  </si>
  <si>
    <t>e.g 50110</t>
  </si>
  <si>
    <t>00000 (default)</t>
  </si>
  <si>
    <t xml:space="preserve">Please send completed form to </t>
  </si>
  <si>
    <t>who will check it and arrange for payment.</t>
  </si>
  <si>
    <t>If you have any queries, feedback, or encounter any errors on this form please contact tracy.roberts@admin.ox.ac.uk</t>
  </si>
  <si>
    <t>Accommodation Loan – Auto-Calculator</t>
  </si>
  <si>
    <t>Loan Amount (£)</t>
  </si>
  <si>
    <t>Notes:</t>
  </si>
  <si>
    <t>Term (months)</t>
  </si>
  <si>
    <t>• Set interest to 0% for interest-free loans.</t>
  </si>
  <si>
    <t>Annual Interest Rate (%)</t>
  </si>
  <si>
    <t>• Final instalment auto-adjusts to reconcile rounding</t>
  </si>
  <si>
    <t>First Payment Date</t>
  </si>
  <si>
    <t>• Due dates use ~30-day spacing; adjust if needed</t>
  </si>
  <si>
    <t>Monthly Rate</t>
  </si>
  <si>
    <t>Standard Instalment (£)</t>
  </si>
  <si>
    <t>Instalment (months 1 to n-1)</t>
  </si>
  <si>
    <t>Final Instalment (£)</t>
  </si>
  <si>
    <t>Repayment Schedule</t>
  </si>
  <si>
    <t>#</t>
  </si>
  <si>
    <t>Due Date</t>
  </si>
  <si>
    <t>Opening Balance (£)</t>
  </si>
  <si>
    <t>Instalment (£)</t>
  </si>
  <si>
    <t>Interest (£)</t>
  </si>
  <si>
    <t>Principal (£)</t>
  </si>
  <si>
    <t>Closing Balance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</si>
</sst>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809]dd\ mmmm\ yyyy;@"/>
    <numFmt numFmtId="166" formatCode="[$£-809]#,##0"/>
    <numFmt numFmtId="167" formatCode="yyyy\-mm\-dd"/>
    <numFmt numFmtId="168" formatCode="dd\-mmm\-yyyy"/>
    <numFmt numFmtId="169" formatCode="\£#,##0.00"/>
  </numFmts>
  <fonts count="45">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2"/>
      <color rgb="FF4F81BD"/>
      <name val="Arial"/>
      <family val="2"/>
    </font>
    <font>
      <b/>
      <sz val="10"/>
      <color theme="1"/>
      <name val="Calibri"/>
      <family val="2"/>
      <scheme val="minor"/>
    </font>
    <font>
      <sz val="10"/>
      <color theme="1"/>
      <name val="Calibri"/>
      <family val="2"/>
      <scheme val="minor"/>
    </font>
    <font>
      <i/>
      <sz val="11"/>
      <color theme="1"/>
      <name val="Calibri"/>
      <family val="2"/>
      <scheme val="minor"/>
    </font>
    <font>
      <i/>
      <sz val="11"/>
      <color theme="1"/>
      <name val="Arial"/>
      <family val="2"/>
    </font>
    <font>
      <u/>
      <sz val="11"/>
      <color theme="10"/>
      <name val="Calibri"/>
      <family val="2"/>
      <scheme val="minor"/>
    </font>
    <font>
      <sz val="12"/>
      <color theme="1"/>
      <name val="Calibri"/>
      <family val="2"/>
      <scheme val="minor"/>
    </font>
    <font>
      <sz val="11"/>
      <name val="Calibri"/>
      <family val="2"/>
      <scheme val="minor"/>
    </font>
    <font>
      <b/>
      <sz val="11"/>
      <color rgb="FFFF0000"/>
      <name val="Calibri"/>
      <family val="2"/>
      <scheme val="minor"/>
    </font>
    <font>
      <b/>
      <sz val="11"/>
      <color rgb="FF7030A0"/>
      <name val="Calibri"/>
      <family val="2"/>
      <scheme val="minor"/>
    </font>
    <font>
      <u/>
      <sz val="14"/>
      <color theme="10"/>
      <name val="Calibri"/>
      <family val="2"/>
      <scheme val="minor"/>
    </font>
    <font>
      <b/>
      <u/>
      <sz val="14"/>
      <color theme="1"/>
      <name val="Calibri"/>
      <family val="2"/>
      <scheme val="minor"/>
    </font>
    <font>
      <i/>
      <sz val="12"/>
      <color theme="1"/>
      <name val="Calibri"/>
      <family val="2"/>
      <scheme val="minor"/>
    </font>
    <font>
      <i/>
      <sz val="11"/>
      <color rgb="FF7030A0"/>
      <name val="Calibri"/>
      <family val="2"/>
      <scheme val="minor"/>
    </font>
    <font>
      <b/>
      <sz val="14"/>
      <color theme="1"/>
      <name val="Calibri"/>
      <family val="2"/>
      <scheme val="minor"/>
    </font>
    <font>
      <b/>
      <sz val="11"/>
      <color rgb="FF4F81BD"/>
      <name val="Calibri"/>
      <family val="2"/>
      <scheme val="minor"/>
    </font>
    <font>
      <u/>
      <sz val="14"/>
      <color theme="1"/>
      <name val="Calibri"/>
      <family val="2"/>
      <scheme val="minor"/>
    </font>
    <font>
      <b/>
      <sz val="16"/>
      <color rgb="FF4F81BD"/>
      <name val="Calibri"/>
      <family val="2"/>
      <scheme val="minor"/>
    </font>
    <font>
      <u/>
      <sz val="11"/>
      <color theme="1"/>
      <name val="Calibri"/>
      <family val="2"/>
      <scheme val="minor"/>
    </font>
    <font>
      <i/>
      <sz val="16"/>
      <color rgb="FFFF0000"/>
      <name val="Calibri"/>
      <family val="2"/>
      <scheme val="minor"/>
    </font>
    <font>
      <b/>
      <sz val="12"/>
      <color theme="1"/>
      <name val="Calibri"/>
      <family val="2"/>
      <scheme val="minor"/>
    </font>
    <font>
      <sz val="20"/>
      <color theme="1"/>
      <name val="Calibri"/>
      <family val="2"/>
      <scheme val="minor"/>
    </font>
    <font>
      <i/>
      <sz val="11"/>
      <color theme="0" tint="-0.499984740745262"/>
      <name val="Arial"/>
      <family val="2"/>
    </font>
    <font>
      <sz val="11"/>
      <color rgb="FFFF0000"/>
      <name val="Arial"/>
      <family val="2"/>
    </font>
    <font>
      <sz val="10"/>
      <name val="Arial"/>
      <family val="2"/>
    </font>
    <font>
      <b/>
      <sz val="10"/>
      <name val="Arial"/>
      <family val="2"/>
    </font>
    <font>
      <i/>
      <sz val="9"/>
      <color rgb="FF7030A0"/>
      <name val="Calibri"/>
      <family val="2"/>
      <scheme val="minor"/>
    </font>
    <font>
      <b/>
      <i/>
      <sz val="12"/>
      <color theme="1"/>
      <name val="Calibri"/>
      <family val="2"/>
      <scheme val="minor"/>
    </font>
    <font>
      <sz val="10.5"/>
      <color theme="1"/>
      <name val="Calibri"/>
      <family val="2"/>
      <scheme val="minor"/>
    </font>
    <font>
      <sz val="10"/>
      <name val="Calibri"/>
      <family val="2"/>
      <scheme val="minor"/>
    </font>
    <font>
      <b/>
      <sz val="9"/>
      <color rgb="FFFF0000"/>
      <name val="Calibri"/>
      <family val="2"/>
      <scheme val="minor"/>
    </font>
    <font>
      <b/>
      <sz val="10"/>
      <color rgb="FFFF0000"/>
      <name val="Arial"/>
      <family val="2"/>
    </font>
    <font>
      <i/>
      <sz val="10"/>
      <color rgb="FF7030A0"/>
      <name val="Calibri"/>
      <family val="2"/>
      <scheme val="minor"/>
    </font>
    <font>
      <sz val="9"/>
      <color theme="1"/>
      <name val="Calibri"/>
      <family val="2"/>
      <scheme val="minor"/>
    </font>
    <font>
      <i/>
      <sz val="9"/>
      <color rgb="FFB2B2B2"/>
      <name val="Calibri"/>
      <family val="2"/>
      <scheme val="minor"/>
    </font>
    <font>
      <sz val="9"/>
      <name val="Calibri"/>
      <family val="2"/>
      <scheme val="minor"/>
    </font>
    <font>
      <sz val="10"/>
      <color theme="1"/>
      <name val="Calibri"/>
      <scheme val="minor"/>
    </font>
    <font>
      <b/>
      <sz val="11"/>
      <name val="Calibri"/>
    </font>
    <font>
      <b/>
      <sz val="12"/>
      <name val="Calibri"/>
    </font>
    <font>
      <b/>
      <sz val="14"/>
      <name val="Calibri"/>
    </font>
    <font>
      <sz val="12"/>
      <color rgb="FFFF000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indexed="43"/>
        <bgColor indexed="64"/>
      </patternFill>
    </fill>
    <fill>
      <patternFill patternType="solid">
        <fgColor rgb="FFDDDDDD"/>
      </patternFill>
    </fill>
    <fill>
      <patternFill patternType="solid">
        <fgColor rgb="FFFFFF00"/>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right/>
      <top style="thin">
        <color indexed="64"/>
      </top>
      <bottom style="thin">
        <color indexed="64"/>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right style="medium">
        <color indexed="64"/>
      </right>
      <top/>
      <bottom/>
      <diagonal/>
    </border>
    <border>
      <left style="medium">
        <color indexed="64"/>
      </left>
      <right/>
      <top/>
      <bottom/>
      <diagonal/>
    </border>
    <border>
      <left/>
      <right/>
      <top style="thin">
        <color indexed="64"/>
      </top>
      <bottom style="thin">
        <color theme="0" tint="-0.14990691854609822"/>
      </bottom>
      <diagonal/>
    </border>
    <border>
      <left/>
      <right style="thin">
        <color indexed="64"/>
      </right>
      <top style="thin">
        <color indexed="64"/>
      </top>
      <bottom style="thin">
        <color theme="0" tint="-0.14990691854609822"/>
      </bottom>
      <diagonal/>
    </border>
    <border>
      <left/>
      <right/>
      <top style="thin">
        <color theme="0" tint="-0.14990691854609822"/>
      </top>
      <bottom style="thin">
        <color theme="0" tint="-0.14990691854609822"/>
      </bottom>
      <diagonal/>
    </border>
    <border>
      <left/>
      <right style="thin">
        <color indexed="64"/>
      </right>
      <top style="thin">
        <color theme="0" tint="-0.14990691854609822"/>
      </top>
      <bottom style="thin">
        <color theme="0" tint="-0.14990691854609822"/>
      </bottom>
      <diagonal/>
    </border>
    <border>
      <left/>
      <right/>
      <top style="thin">
        <color theme="0" tint="-0.14990691854609822"/>
      </top>
      <bottom style="thin">
        <color indexed="64"/>
      </bottom>
      <diagonal/>
    </border>
    <border>
      <left/>
      <right style="thin">
        <color indexed="64"/>
      </right>
      <top style="thin">
        <color theme="0" tint="-0.14990691854609822"/>
      </top>
      <bottom style="thin">
        <color indexed="64"/>
      </bottom>
      <diagonal/>
    </border>
    <border>
      <left style="thin">
        <color indexed="64"/>
      </left>
      <right style="thin">
        <color indexed="64"/>
      </right>
      <top style="thin">
        <color indexed="64"/>
      </top>
      <bottom/>
      <diagonal/>
    </border>
    <border>
      <left/>
      <right style="thick">
        <color indexed="64"/>
      </right>
      <top style="thin">
        <color indexed="64"/>
      </top>
      <bottom style="thin">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theme="0" tint="-0.14990691854609822"/>
      </bottom>
      <diagonal/>
    </border>
    <border>
      <left style="thin">
        <color indexed="64"/>
      </left>
      <right style="thin">
        <color indexed="64"/>
      </right>
      <top style="thin">
        <color theme="0" tint="-0.14990691854609822"/>
      </top>
      <bottom style="thin">
        <color theme="0" tint="-0.14990691854609822"/>
      </bottom>
      <diagonal/>
    </border>
    <border>
      <left style="thin">
        <color indexed="64"/>
      </left>
      <right style="thin">
        <color indexed="64"/>
      </right>
      <top style="thin">
        <color theme="0" tint="-0.14990691854609822"/>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s>
  <cellStyleXfs count="5">
    <xf numFmtId="0" fontId="0" fillId="0" borderId="0"/>
    <xf numFmtId="0" fontId="9" fillId="0" borderId="0"/>
    <xf numFmtId="0" fontId="28" fillId="0" borderId="0"/>
    <xf numFmtId="0" fontId="3" fillId="0" borderId="0"/>
    <xf numFmtId="0" fontId="28" fillId="0" borderId="0"/>
  </cellStyleXfs>
  <cellXfs count="239">
    <xf numFmtId="0" fontId="0" fillId="0" borderId="0" xfId="0"/>
    <xf numFmtId="0" fontId="4" fillId="2" borderId="0" xfId="0" applyFont="1" applyFill="1"/>
    <xf numFmtId="0" fontId="3" fillId="2" borderId="0" xfId="0" applyFont="1" applyFill="1"/>
    <xf numFmtId="0" fontId="8" fillId="2" borderId="0" xfId="0" applyFont="1" applyFill="1"/>
    <xf numFmtId="0" fontId="2" fillId="3" borderId="0" xfId="0" applyFont="1" applyFill="1"/>
    <xf numFmtId="0" fontId="3" fillId="4" borderId="0" xfId="0" quotePrefix="1" applyFont="1" applyFill="1"/>
    <xf numFmtId="0" fontId="12" fillId="0" borderId="0" xfId="0" applyFont="1"/>
    <xf numFmtId="0" fontId="7" fillId="2" borderId="0" xfId="0" applyFont="1" applyFill="1"/>
    <xf numFmtId="0" fontId="13" fillId="0" borderId="0" xfId="0" applyFont="1" applyAlignment="1" applyProtection="1">
      <alignment horizontal="center"/>
      <protection locked="0"/>
    </xf>
    <xf numFmtId="0" fontId="0" fillId="5" borderId="0" xfId="0" applyFill="1"/>
    <xf numFmtId="0" fontId="0" fillId="5" borderId="0" xfId="0" quotePrefix="1" applyFill="1"/>
    <xf numFmtId="0" fontId="0" fillId="0" borderId="0" xfId="0" quotePrefix="1"/>
    <xf numFmtId="0" fontId="2" fillId="3" borderId="3" xfId="0" applyFont="1" applyFill="1" applyBorder="1"/>
    <xf numFmtId="14" fontId="2" fillId="0" borderId="0" xfId="0" applyNumberFormat="1" applyFont="1" applyAlignment="1">
      <alignment horizontal="center"/>
    </xf>
    <xf numFmtId="164" fontId="0" fillId="0" borderId="3" xfId="0" applyNumberFormat="1" applyBorder="1"/>
    <xf numFmtId="164" fontId="0" fillId="3" borderId="3" xfId="0" applyNumberFormat="1" applyFill="1" applyBorder="1"/>
    <xf numFmtId="164" fontId="0" fillId="3" borderId="0" xfId="0" applyNumberFormat="1" applyFill="1"/>
    <xf numFmtId="0" fontId="2" fillId="5" borderId="0" xfId="0" applyFont="1" applyFill="1" applyAlignment="1">
      <alignment horizontal="center"/>
    </xf>
    <xf numFmtId="0" fontId="2" fillId="6" borderId="0" xfId="0" applyFont="1" applyFill="1" applyAlignment="1">
      <alignment horizontal="center"/>
    </xf>
    <xf numFmtId="0" fontId="2" fillId="7" borderId="0" xfId="0" applyFont="1" applyFill="1"/>
    <xf numFmtId="0" fontId="11" fillId="0" borderId="0" xfId="0" applyFont="1"/>
    <xf numFmtId="0" fontId="0" fillId="0" borderId="0" xfId="0" applyAlignment="1">
      <alignment vertical="top"/>
    </xf>
    <xf numFmtId="0" fontId="0" fillId="2" borderId="0" xfId="0" applyFill="1" applyAlignment="1">
      <alignment wrapText="1"/>
    </xf>
    <xf numFmtId="0" fontId="20" fillId="2" borderId="0" xfId="0" applyFont="1" applyFill="1" applyAlignment="1">
      <alignment horizontal="right"/>
    </xf>
    <xf numFmtId="0" fontId="0" fillId="3" borderId="0" xfId="0" applyFill="1" applyAlignment="1">
      <alignment horizontal="center"/>
    </xf>
    <xf numFmtId="0" fontId="6" fillId="2" borderId="0" xfId="0" applyFont="1" applyFill="1" applyAlignment="1">
      <alignment vertical="center" wrapText="1"/>
    </xf>
    <xf numFmtId="0" fontId="15" fillId="5" borderId="0" xfId="0" applyFont="1" applyFill="1"/>
    <xf numFmtId="164" fontId="21" fillId="2" borderId="0" xfId="0" applyNumberFormat="1" applyFont="1" applyFill="1" applyAlignment="1" applyProtection="1">
      <alignment horizontal="center" vertical="center"/>
      <protection locked="0"/>
    </xf>
    <xf numFmtId="0" fontId="0" fillId="2" borderId="0" xfId="0" applyFill="1" applyAlignment="1">
      <alignment vertical="top"/>
    </xf>
    <xf numFmtId="0" fontId="1" fillId="2" borderId="0" xfId="0" applyFont="1" applyFill="1" applyAlignment="1">
      <alignment vertical="top"/>
    </xf>
    <xf numFmtId="164" fontId="23" fillId="2" borderId="0" xfId="0" applyNumberFormat="1" applyFont="1" applyFill="1" applyAlignment="1">
      <alignment horizontal="right" vertical="center"/>
    </xf>
    <xf numFmtId="0" fontId="0" fillId="0" borderId="0" xfId="0" applyAlignment="1">
      <alignment horizontal="right"/>
    </xf>
    <xf numFmtId="0" fontId="0" fillId="9" borderId="0" xfId="0" applyFill="1" applyAlignment="1">
      <alignment horizontal="center"/>
    </xf>
    <xf numFmtId="0" fontId="0" fillId="2" borderId="0" xfId="0" applyFill="1" applyAlignment="1">
      <alignment horizontal="left"/>
    </xf>
    <xf numFmtId="0" fontId="10" fillId="2" borderId="0" xfId="0" applyFont="1" applyFill="1" applyAlignment="1">
      <alignment vertical="center" wrapText="1"/>
    </xf>
    <xf numFmtId="0" fontId="0" fillId="2" borderId="0" xfId="0" applyFill="1" applyAlignment="1">
      <alignment vertical="center" wrapText="1"/>
    </xf>
    <xf numFmtId="0" fontId="22" fillId="2" borderId="0" xfId="0" applyFont="1" applyFill="1" applyAlignment="1">
      <alignment horizontal="left" vertical="top"/>
    </xf>
    <xf numFmtId="0" fontId="0" fillId="2" borderId="0" xfId="0" applyFill="1" applyAlignment="1">
      <alignment vertical="top" wrapText="1"/>
    </xf>
    <xf numFmtId="0" fontId="26" fillId="2" borderId="0" xfId="0" applyFont="1" applyFill="1" applyAlignment="1">
      <alignment horizontal="center"/>
    </xf>
    <xf numFmtId="0" fontId="26" fillId="2" borderId="0" xfId="0" applyFont="1" applyFill="1"/>
    <xf numFmtId="0" fontId="3" fillId="0" borderId="0" xfId="0" applyFont="1"/>
    <xf numFmtId="49" fontId="3" fillId="3" borderId="14" xfId="0" applyNumberFormat="1" applyFont="1" applyFill="1" applyBorder="1" applyAlignment="1">
      <alignment horizontal="center"/>
    </xf>
    <xf numFmtId="0" fontId="27" fillId="2" borderId="0" xfId="0" applyFont="1" applyFill="1" applyAlignment="1">
      <alignment horizontal="left"/>
    </xf>
    <xf numFmtId="0" fontId="27" fillId="2" borderId="0" xfId="0" applyFont="1" applyFill="1"/>
    <xf numFmtId="0" fontId="0" fillId="2" borderId="0" xfId="0" applyFill="1"/>
    <xf numFmtId="0" fontId="26" fillId="2" borderId="0" xfId="0" applyFont="1" applyFill="1" applyAlignment="1">
      <alignment horizontal="right"/>
    </xf>
    <xf numFmtId="0" fontId="2" fillId="0" borderId="0" xfId="0" applyFont="1"/>
    <xf numFmtId="0" fontId="11" fillId="11" borderId="0" xfId="0" applyFont="1" applyFill="1"/>
    <xf numFmtId="49" fontId="0" fillId="2" borderId="0" xfId="0" applyNumberFormat="1" applyFill="1"/>
    <xf numFmtId="0" fontId="28" fillId="0" borderId="0" xfId="2" quotePrefix="1"/>
    <xf numFmtId="0" fontId="28" fillId="0" borderId="0" xfId="2" quotePrefix="1" applyAlignment="1">
      <alignment wrapText="1"/>
    </xf>
    <xf numFmtId="0" fontId="28" fillId="0" borderId="0" xfId="2" applyAlignment="1">
      <alignment wrapText="1"/>
    </xf>
    <xf numFmtId="0" fontId="28" fillId="0" borderId="0" xfId="2"/>
    <xf numFmtId="0" fontId="30" fillId="2" borderId="0" xfId="0" applyFont="1" applyFill="1" applyAlignment="1">
      <alignment horizontal="right"/>
    </xf>
    <xf numFmtId="0" fontId="0" fillId="2" borderId="0" xfId="0" applyFill="1" applyAlignment="1">
      <alignment horizontal="right" vertical="top"/>
    </xf>
    <xf numFmtId="0" fontId="31" fillId="2" borderId="0" xfId="0" applyFont="1" applyFill="1" applyAlignment="1">
      <alignment horizontal="center" vertical="top"/>
    </xf>
    <xf numFmtId="0" fontId="31" fillId="2" borderId="0" xfId="0" applyFont="1" applyFill="1" applyAlignment="1">
      <alignment vertical="top"/>
    </xf>
    <xf numFmtId="49" fontId="0" fillId="2" borderId="0" xfId="0" applyNumberFormat="1" applyFill="1" applyAlignment="1">
      <alignment horizontal="center" vertical="center" wrapText="1"/>
    </xf>
    <xf numFmtId="0" fontId="14" fillId="2" borderId="0" xfId="1" applyFont="1" applyFill="1" applyAlignment="1" applyProtection="1">
      <alignment horizontal="left" wrapText="1"/>
      <protection locked="0"/>
    </xf>
    <xf numFmtId="0" fontId="14" fillId="2" borderId="0" xfId="1" applyFont="1" applyFill="1" applyAlignment="1" applyProtection="1">
      <alignment vertical="center" wrapText="1"/>
      <protection locked="0"/>
    </xf>
    <xf numFmtId="0" fontId="14" fillId="2" borderId="0" xfId="1" applyFont="1" applyFill="1" applyAlignment="1">
      <alignment vertical="center" wrapText="1"/>
    </xf>
    <xf numFmtId="164" fontId="0" fillId="3" borderId="4" xfId="0" applyNumberFormat="1" applyFill="1" applyBorder="1"/>
    <xf numFmtId="0" fontId="34" fillId="2" borderId="0" xfId="0" applyFont="1" applyFill="1"/>
    <xf numFmtId="0" fontId="0" fillId="5" borderId="16" xfId="0" applyFill="1" applyBorder="1" applyAlignment="1">
      <alignment horizontal="left" vertical="center" wrapText="1"/>
    </xf>
    <xf numFmtId="0" fontId="22" fillId="2" borderId="0" xfId="0" applyFont="1" applyFill="1" applyAlignment="1">
      <alignment horizontal="left"/>
    </xf>
    <xf numFmtId="0" fontId="11" fillId="2" borderId="0" xfId="0" applyFont="1" applyFill="1" applyAlignment="1">
      <alignment horizontal="center"/>
    </xf>
    <xf numFmtId="0" fontId="22" fillId="2" borderId="0" xfId="0" applyFont="1" applyFill="1"/>
    <xf numFmtId="0" fontId="0" fillId="2" borderId="0" xfId="0" applyFill="1" applyAlignment="1">
      <alignment horizontal="center" vertical="top" wrapText="1"/>
    </xf>
    <xf numFmtId="0" fontId="17" fillId="2" borderId="0" xfId="0" applyFont="1" applyFill="1" applyAlignment="1">
      <alignment horizontal="center" vertical="center" wrapText="1"/>
    </xf>
    <xf numFmtId="0" fontId="16" fillId="2" borderId="0" xfId="0" applyFont="1" applyFill="1" applyAlignment="1">
      <alignment vertical="center" wrapText="1"/>
    </xf>
    <xf numFmtId="164" fontId="0" fillId="0" borderId="0" xfId="0" applyNumberFormat="1"/>
    <xf numFmtId="0" fontId="35" fillId="0" borderId="0" xfId="2" applyFont="1"/>
    <xf numFmtId="49" fontId="3" fillId="3" borderId="13" xfId="0" quotePrefix="1" applyNumberFormat="1" applyFont="1" applyFill="1" applyBorder="1" applyAlignment="1">
      <alignment horizontal="center"/>
    </xf>
    <xf numFmtId="0" fontId="0" fillId="2" borderId="11" xfId="0" applyFill="1" applyBorder="1"/>
    <xf numFmtId="0" fontId="0" fillId="2" borderId="9" xfId="0" applyFill="1" applyBorder="1"/>
    <xf numFmtId="0" fontId="0" fillId="2" borderId="8" xfId="0" applyFill="1" applyBorder="1"/>
    <xf numFmtId="0" fontId="0" fillId="2" borderId="1" xfId="0" applyFill="1" applyBorder="1" applyAlignment="1">
      <alignment horizontal="left" vertical="center" wrapText="1"/>
    </xf>
    <xf numFmtId="0" fontId="0" fillId="2" borderId="0" xfId="0" applyFill="1" applyAlignment="1">
      <alignment horizontal="left" vertical="top"/>
    </xf>
    <xf numFmtId="0" fontId="37" fillId="2" borderId="0" xfId="0" applyFont="1" applyFill="1" applyAlignment="1">
      <alignment horizontal="left" vertical="top"/>
    </xf>
    <xf numFmtId="0" fontId="38" fillId="2" borderId="0" xfId="0" applyFont="1" applyFill="1" applyAlignment="1">
      <alignment horizontal="right" vertical="top"/>
    </xf>
    <xf numFmtId="0" fontId="0" fillId="0" borderId="0" xfId="0" applyAlignment="1">
      <alignment horizontal="center"/>
    </xf>
    <xf numFmtId="0" fontId="0" fillId="0" borderId="0" xfId="0" applyAlignment="1">
      <alignment horizontal="left"/>
    </xf>
    <xf numFmtId="0" fontId="0" fillId="2" borderId="0" xfId="0" applyFill="1" applyAlignment="1">
      <alignment horizontal="right"/>
    </xf>
    <xf numFmtId="0" fontId="0" fillId="2" borderId="0" xfId="0" applyFill="1" applyAlignment="1">
      <alignment horizontal="left" vertical="center" wrapText="1"/>
    </xf>
    <xf numFmtId="0" fontId="0" fillId="2" borderId="0" xfId="0" applyFill="1" applyAlignment="1">
      <alignment horizontal="center"/>
    </xf>
    <xf numFmtId="0" fontId="14" fillId="2" borderId="0" xfId="1" applyFont="1" applyFill="1" applyAlignment="1">
      <alignment horizontal="left"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wrapText="1"/>
    </xf>
    <xf numFmtId="0" fontId="9" fillId="2" borderId="0" xfId="1" applyFill="1" applyAlignment="1">
      <alignment horizontal="center"/>
    </xf>
    <xf numFmtId="0" fontId="0" fillId="2" borderId="0" xfId="0" applyFill="1" applyAlignment="1">
      <alignment horizontal="left" vertical="center"/>
    </xf>
    <xf numFmtId="0" fontId="0" fillId="0" borderId="0" xfId="0" applyAlignment="1">
      <alignment horizontal="left" vertical="center"/>
    </xf>
    <xf numFmtId="0" fontId="22" fillId="2" borderId="0" xfId="0" applyFont="1" applyFill="1" applyAlignment="1">
      <alignment horizontal="right"/>
    </xf>
    <xf numFmtId="0" fontId="11" fillId="2" borderId="0" xfId="0" applyFont="1" applyFill="1"/>
    <xf numFmtId="165" fontId="0" fillId="2" borderId="0" xfId="0" applyNumberFormat="1" applyFill="1" applyAlignment="1">
      <alignment horizontal="center" vertical="center"/>
    </xf>
    <xf numFmtId="165" fontId="0" fillId="2" borderId="0" xfId="0" applyNumberFormat="1" applyFill="1" applyAlignment="1">
      <alignment vertical="center"/>
    </xf>
    <xf numFmtId="165" fontId="0" fillId="2" borderId="0" xfId="0" applyNumberFormat="1" applyFill="1" applyAlignment="1">
      <alignment horizontal="center" vertical="center" wrapText="1"/>
    </xf>
    <xf numFmtId="0" fontId="43" fillId="0" borderId="0" xfId="0" applyFont="1"/>
    <xf numFmtId="0" fontId="41" fillId="0" borderId="0" xfId="0" applyFont="1"/>
    <xf numFmtId="167" fontId="0" fillId="0" borderId="0" xfId="0" applyNumberFormat="1"/>
    <xf numFmtId="0" fontId="41" fillId="13" borderId="30" xfId="0" applyFont="1" applyFill="1" applyBorder="1" applyAlignment="1">
      <alignment horizontal="center"/>
    </xf>
    <xf numFmtId="0" fontId="0" fillId="0" borderId="30" xfId="0" applyBorder="1" applyAlignment="1">
      <alignment horizontal="center"/>
    </xf>
    <xf numFmtId="168" fontId="0" fillId="0" borderId="30" xfId="0" applyNumberFormat="1" applyBorder="1"/>
    <xf numFmtId="169" fontId="0" fillId="0" borderId="30" xfId="0" applyNumberFormat="1" applyBorder="1"/>
    <xf numFmtId="0" fontId="10" fillId="2" borderId="0" xfId="0" applyFont="1" applyFill="1" applyAlignment="1">
      <alignment horizontal="left" vertical="center" wrapText="1"/>
    </xf>
    <xf numFmtId="0" fontId="11" fillId="2" borderId="0" xfId="0" applyFont="1" applyFill="1" applyAlignment="1">
      <alignment wrapText="1"/>
    </xf>
    <xf numFmtId="0" fontId="44" fillId="2" borderId="0" xfId="0" applyFont="1" applyFill="1" applyAlignment="1">
      <alignment horizontal="center" vertical="center" wrapText="1"/>
    </xf>
    <xf numFmtId="0" fontId="0" fillId="2" borderId="25" xfId="0" applyFill="1" applyBorder="1" applyAlignment="1">
      <alignment vertical="center" wrapText="1"/>
    </xf>
    <xf numFmtId="0" fontId="10" fillId="2" borderId="25" xfId="0" applyFont="1" applyFill="1" applyBorder="1" applyAlignment="1">
      <alignment horizontal="left" vertical="center" wrapText="1"/>
    </xf>
    <xf numFmtId="0" fontId="5" fillId="2" borderId="0" xfId="0" applyFont="1" applyFill="1" applyAlignment="1">
      <alignment vertical="center"/>
    </xf>
    <xf numFmtId="0" fontId="29" fillId="12" borderId="30" xfId="2" applyFont="1" applyFill="1" applyBorder="1" applyAlignment="1">
      <alignment vertical="center"/>
    </xf>
    <xf numFmtId="0" fontId="29" fillId="12" borderId="30" xfId="2" applyFont="1" applyFill="1" applyBorder="1" applyAlignment="1">
      <alignment vertical="center" wrapText="1"/>
    </xf>
    <xf numFmtId="0" fontId="28" fillId="0" borderId="30" xfId="2" applyBorder="1"/>
    <xf numFmtId="0" fontId="29" fillId="0" borderId="30" xfId="2" applyFont="1" applyBorder="1"/>
    <xf numFmtId="0" fontId="35" fillId="0" borderId="30" xfId="2" applyFont="1" applyBorder="1"/>
    <xf numFmtId="166" fontId="24" fillId="6" borderId="30" xfId="0" applyNumberFormat="1" applyFont="1" applyFill="1" applyBorder="1" applyAlignment="1">
      <alignment horizontal="center"/>
    </xf>
    <xf numFmtId="164" fontId="24" fillId="8" borderId="30" xfId="0" applyNumberFormat="1" applyFont="1" applyFill="1" applyBorder="1" applyAlignment="1">
      <alignment horizontal="center" vertical="center"/>
    </xf>
    <xf numFmtId="0" fontId="24" fillId="10" borderId="30" xfId="0" applyFont="1" applyFill="1" applyBorder="1" applyAlignment="1">
      <alignment horizontal="center"/>
    </xf>
    <xf numFmtId="0" fontId="0" fillId="0" borderId="30" xfId="0" applyBorder="1" applyProtection="1">
      <protection locked="0"/>
    </xf>
    <xf numFmtId="49" fontId="0" fillId="0" borderId="30" xfId="0" applyNumberFormat="1" applyBorder="1" applyAlignment="1">
      <alignment horizontal="center"/>
    </xf>
    <xf numFmtId="1" fontId="0" fillId="0" borderId="30" xfId="0" applyNumberFormat="1" applyBorder="1" applyAlignment="1" applyProtection="1">
      <alignment horizontal="center"/>
      <protection locked="0"/>
    </xf>
    <xf numFmtId="0" fontId="24" fillId="5" borderId="30" xfId="0" quotePrefix="1" applyFont="1" applyFill="1" applyBorder="1" applyAlignment="1">
      <alignment horizontal="center"/>
    </xf>
    <xf numFmtId="1" fontId="0" fillId="5" borderId="25" xfId="0" quotePrefix="1" applyNumberFormat="1" applyFill="1" applyBorder="1" applyAlignment="1">
      <alignment horizontal="center" vertical="center"/>
    </xf>
    <xf numFmtId="0" fontId="0" fillId="2" borderId="0" xfId="0" applyFill="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2" borderId="0" xfId="0" applyFont="1" applyFill="1" applyAlignment="1">
      <alignment vertical="top" wrapText="1"/>
    </xf>
    <xf numFmtId="0" fontId="15" fillId="2" borderId="0" xfId="0" applyFont="1" applyFill="1" applyAlignment="1">
      <alignment horizontal="left" vertical="top" wrapText="1"/>
    </xf>
    <xf numFmtId="0" fontId="38" fillId="2" borderId="4" xfId="0" applyFont="1" applyFill="1" applyBorder="1" applyAlignment="1">
      <alignment horizontal="right" vertical="center"/>
    </xf>
    <xf numFmtId="165" fontId="3" fillId="2" borderId="30" xfId="0" applyNumberFormat="1" applyFont="1" applyFill="1" applyBorder="1" applyAlignment="1" applyProtection="1">
      <alignment horizontal="center"/>
      <protection locked="0"/>
    </xf>
    <xf numFmtId="0" fontId="9" fillId="2" borderId="0" xfId="1" applyFill="1" applyAlignment="1">
      <alignment horizontal="center"/>
    </xf>
    <xf numFmtId="0" fontId="16" fillId="2" borderId="0" xfId="0" applyFont="1" applyFill="1" applyAlignment="1">
      <alignment horizontal="center" vertical="top" wrapText="1"/>
    </xf>
    <xf numFmtId="0" fontId="0" fillId="2" borderId="0" xfId="0" applyFill="1" applyAlignment="1">
      <alignment horizontal="center" vertical="center" wrapText="1"/>
    </xf>
    <xf numFmtId="0" fontId="40" fillId="2" borderId="0" xfId="0" applyFont="1" applyFill="1" applyAlignment="1">
      <alignment horizontal="left" vertical="center" wrapText="1"/>
    </xf>
    <xf numFmtId="49" fontId="0" fillId="2" borderId="30" xfId="0" applyNumberFormat="1" applyFill="1" applyBorder="1" applyAlignment="1" applyProtection="1">
      <alignment horizontal="left" vertical="center" wrapText="1"/>
      <protection locked="0"/>
    </xf>
    <xf numFmtId="0" fontId="32" fillId="2" borderId="0" xfId="0" applyFont="1" applyFill="1" applyAlignment="1">
      <alignment horizontal="center" vertical="center"/>
    </xf>
    <xf numFmtId="0" fontId="37" fillId="2" borderId="4" xfId="0" applyFont="1" applyFill="1" applyBorder="1" applyAlignment="1">
      <alignment horizontal="right" vertical="center"/>
    </xf>
    <xf numFmtId="0" fontId="39" fillId="2" borderId="4" xfId="0" applyFont="1" applyFill="1" applyBorder="1" applyAlignment="1">
      <alignment horizontal="right"/>
    </xf>
    <xf numFmtId="0" fontId="0" fillId="2" borderId="4" xfId="0" applyFill="1" applyBorder="1" applyAlignment="1">
      <alignment horizontal="right" vertical="center"/>
    </xf>
    <xf numFmtId="0" fontId="0" fillId="2" borderId="0" xfId="0" applyFill="1" applyAlignment="1">
      <alignment horizontal="left" vertical="center" wrapText="1"/>
    </xf>
    <xf numFmtId="0" fontId="0" fillId="0" borderId="0" xfId="0" applyAlignment="1">
      <alignment horizontal="left"/>
    </xf>
    <xf numFmtId="0" fontId="14" fillId="2" borderId="0" xfId="1" applyFont="1" applyFill="1" applyAlignment="1">
      <alignment horizontal="left" vertical="center" wrapText="1"/>
    </xf>
    <xf numFmtId="0" fontId="0" fillId="2" borderId="30" xfId="0" applyFill="1" applyBorder="1" applyAlignment="1">
      <alignment horizontal="left" vertical="center" wrapText="1"/>
    </xf>
    <xf numFmtId="0" fontId="0" fillId="2" borderId="4" xfId="0" applyFill="1" applyBorder="1" applyAlignment="1">
      <alignment horizontal="left" vertical="center"/>
    </xf>
    <xf numFmtId="164" fontId="2" fillId="5" borderId="9"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0" fillId="3" borderId="30" xfId="0" applyFill="1" applyBorder="1" applyAlignment="1">
      <alignment horizontal="left" vertical="center"/>
    </xf>
    <xf numFmtId="0" fontId="0" fillId="3" borderId="30" xfId="0" applyFill="1" applyBorder="1" applyAlignment="1">
      <alignment horizontal="left" vertical="center" wrapText="1"/>
    </xf>
    <xf numFmtId="0" fontId="0" fillId="2" borderId="0" xfId="0" applyFill="1" applyAlignment="1">
      <alignment horizontal="center"/>
    </xf>
    <xf numFmtId="164" fontId="18" fillId="5" borderId="30" xfId="0" applyNumberFormat="1" applyFont="1" applyFill="1" applyBorder="1" applyAlignment="1">
      <alignment horizontal="center" vertical="center"/>
    </xf>
    <xf numFmtId="0" fontId="14" fillId="2" borderId="0" xfId="1" applyFont="1" applyFill="1" applyAlignment="1">
      <alignment horizontal="left" wrapText="1"/>
    </xf>
    <xf numFmtId="165" fontId="0" fillId="2" borderId="31" xfId="0" applyNumberFormat="1" applyFill="1" applyBorder="1" applyAlignment="1" applyProtection="1">
      <alignment horizontal="center" vertical="center"/>
      <protection locked="0"/>
    </xf>
    <xf numFmtId="1" fontId="6" fillId="2" borderId="31" xfId="0" applyNumberFormat="1" applyFont="1" applyFill="1" applyBorder="1" applyAlignment="1" applyProtection="1">
      <alignment horizontal="center" vertical="center" wrapText="1"/>
      <protection locked="0"/>
    </xf>
    <xf numFmtId="0" fontId="0" fillId="5" borderId="15" xfId="0" applyFill="1" applyBorder="1" applyAlignment="1">
      <alignment horizontal="right" vertical="center"/>
    </xf>
    <xf numFmtId="0" fontId="12" fillId="2" borderId="0" xfId="0" applyFont="1" applyFill="1" applyAlignment="1">
      <alignment horizontal="center"/>
    </xf>
    <xf numFmtId="49" fontId="0" fillId="2" borderId="30" xfId="0" applyNumberFormat="1" applyFill="1" applyBorder="1" applyAlignment="1" applyProtection="1">
      <alignment horizontal="center" vertical="center" wrapText="1"/>
      <protection locked="0"/>
    </xf>
    <xf numFmtId="165" fontId="0" fillId="2" borderId="30" xfId="0" applyNumberFormat="1" applyFill="1" applyBorder="1" applyAlignment="1" applyProtection="1">
      <alignment horizontal="center" vertical="center" wrapText="1"/>
      <protection locked="0"/>
    </xf>
    <xf numFmtId="0" fontId="10" fillId="2" borderId="4" xfId="0" applyFont="1" applyFill="1" applyBorder="1" applyAlignment="1">
      <alignment horizontal="right" vertical="top" wrapText="1"/>
    </xf>
    <xf numFmtId="0" fontId="36" fillId="5" borderId="23" xfId="0" applyFont="1" applyFill="1" applyBorder="1" applyAlignment="1">
      <alignment horizontal="center" vertical="top" wrapText="1"/>
    </xf>
    <xf numFmtId="0" fontId="1" fillId="2" borderId="1" xfId="0" applyFont="1" applyFill="1" applyBorder="1" applyAlignment="1">
      <alignment horizontal="center"/>
    </xf>
    <xf numFmtId="0" fontId="22" fillId="2" borderId="0" xfId="0" applyFont="1" applyFill="1" applyAlignment="1">
      <alignment horizontal="center" vertical="center" wrapText="1"/>
    </xf>
    <xf numFmtId="0" fontId="9" fillId="2" borderId="0" xfId="1" applyFill="1" applyAlignment="1">
      <alignment horizontal="left" vertical="center"/>
    </xf>
    <xf numFmtId="0" fontId="0" fillId="2" borderId="0" xfId="0" applyFill="1" applyAlignment="1">
      <alignment horizontal="left" wrapText="1"/>
    </xf>
    <xf numFmtId="0" fontId="5" fillId="2" borderId="0" xfId="0" applyFont="1" applyFill="1" applyAlignment="1">
      <alignment horizontal="left" vertical="center"/>
    </xf>
    <xf numFmtId="0" fontId="6" fillId="2" borderId="0" xfId="0" applyFont="1" applyFill="1" applyAlignment="1">
      <alignment horizontal="left" vertical="center" wrapText="1"/>
    </xf>
    <xf numFmtId="0" fontId="33" fillId="2" borderId="0" xfId="0" applyFont="1" applyFill="1" applyAlignment="1">
      <alignment horizontal="left" vertical="center" wrapText="1"/>
    </xf>
    <xf numFmtId="0" fontId="33" fillId="2" borderId="0" xfId="0" applyFont="1" applyFill="1" applyAlignment="1">
      <alignment vertical="center" wrapText="1"/>
    </xf>
    <xf numFmtId="0" fontId="9" fillId="2" borderId="0" xfId="1" applyFill="1" applyAlignment="1" applyProtection="1">
      <alignment horizontal="center" vertical="center" wrapText="1"/>
      <protection locked="0"/>
    </xf>
    <xf numFmtId="0" fontId="19" fillId="5" borderId="6" xfId="0" applyFont="1" applyFill="1" applyBorder="1" applyAlignment="1">
      <alignment horizontal="center"/>
    </xf>
    <xf numFmtId="0" fontId="19" fillId="5" borderId="0" xfId="0" applyFont="1" applyFill="1" applyAlignment="1">
      <alignment horizontal="center" vertical="center"/>
    </xf>
    <xf numFmtId="0" fontId="12" fillId="5" borderId="0" xfId="0" applyFont="1" applyFill="1" applyAlignment="1">
      <alignment horizontal="right"/>
    </xf>
    <xf numFmtId="49" fontId="3" fillId="2" borderId="23" xfId="0" applyNumberFormat="1" applyFont="1" applyFill="1" applyBorder="1" applyAlignment="1" applyProtection="1">
      <alignment horizontal="center"/>
      <protection locked="0"/>
    </xf>
    <xf numFmtId="0" fontId="15" fillId="2" borderId="0" xfId="0" applyFont="1" applyFill="1" applyAlignment="1">
      <alignment horizontal="left" vertical="center" wrapText="1"/>
    </xf>
    <xf numFmtId="0" fontId="0" fillId="0" borderId="0" xfId="0" applyAlignment="1">
      <alignment horizontal="left" vertical="center"/>
    </xf>
    <xf numFmtId="164" fontId="21" fillId="2" borderId="25" xfId="0" applyNumberFormat="1" applyFont="1" applyFill="1" applyBorder="1" applyAlignment="1" applyProtection="1">
      <alignment horizontal="center" vertical="center"/>
      <protection locked="0"/>
    </xf>
    <xf numFmtId="0" fontId="0" fillId="0" borderId="0" xfId="0" applyAlignment="1">
      <alignment horizontal="left" vertical="top" wrapText="1"/>
    </xf>
    <xf numFmtId="0" fontId="25" fillId="2" borderId="0" xfId="0" applyFont="1" applyFill="1" applyAlignment="1">
      <alignment horizontal="center" vertical="center"/>
    </xf>
    <xf numFmtId="0" fontId="24" fillId="2" borderId="0" xfId="0" applyFont="1" applyFill="1" applyAlignment="1">
      <alignment horizontal="left" vertical="center" wrapText="1"/>
    </xf>
    <xf numFmtId="49" fontId="0" fillId="2" borderId="26" xfId="0" applyNumberFormat="1" applyFill="1" applyBorder="1" applyAlignment="1" applyProtection="1">
      <alignment horizontal="center" vertical="top" wrapText="1"/>
      <protection locked="0"/>
    </xf>
    <xf numFmtId="49" fontId="0" fillId="2" borderId="27" xfId="0" applyNumberFormat="1" applyFill="1" applyBorder="1" applyAlignment="1" applyProtection="1">
      <alignment horizontal="center" vertical="top" wrapText="1"/>
      <protection locked="0"/>
    </xf>
    <xf numFmtId="49" fontId="0" fillId="2" borderId="28" xfId="0" applyNumberFormat="1" applyFill="1" applyBorder="1" applyAlignment="1" applyProtection="1">
      <alignment horizontal="center" vertical="top" wrapText="1"/>
      <protection locked="0"/>
    </xf>
    <xf numFmtId="0" fontId="1" fillId="2" borderId="0" xfId="0" applyFont="1" applyFill="1" applyAlignment="1">
      <alignment horizontal="right"/>
    </xf>
    <xf numFmtId="164" fontId="2" fillId="5" borderId="8" xfId="0" applyNumberFormat="1" applyFont="1" applyFill="1" applyBorder="1" applyAlignment="1">
      <alignment horizontal="center" vertical="center"/>
    </xf>
    <xf numFmtId="49" fontId="0" fillId="2" borderId="30" xfId="0" applyNumberFormat="1" applyFill="1" applyBorder="1" applyAlignment="1" applyProtection="1">
      <alignment horizontal="center" vertical="center"/>
      <protection locked="0"/>
    </xf>
    <xf numFmtId="1" fontId="0" fillId="2" borderId="30" xfId="0" applyNumberFormat="1" applyFill="1" applyBorder="1" applyAlignment="1" applyProtection="1">
      <alignment horizontal="center" vertical="center"/>
      <protection locked="0"/>
    </xf>
    <xf numFmtId="0" fontId="6" fillId="2" borderId="0" xfId="0" applyFont="1" applyFill="1" applyAlignment="1">
      <alignment horizontal="center"/>
    </xf>
    <xf numFmtId="0" fontId="12" fillId="2" borderId="0" xfId="0" applyFont="1" applyFill="1" applyAlignment="1">
      <alignment horizontal="left" vertical="center" wrapText="1"/>
    </xf>
    <xf numFmtId="0" fontId="26" fillId="2" borderId="1" xfId="0" applyFont="1" applyFill="1" applyBorder="1" applyAlignment="1">
      <alignment horizontal="center"/>
    </xf>
    <xf numFmtId="0" fontId="22" fillId="2" borderId="0" xfId="0" applyFont="1" applyFill="1" applyAlignment="1">
      <alignment horizontal="right"/>
    </xf>
    <xf numFmtId="0" fontId="17" fillId="2" borderId="0" xfId="0" applyFont="1" applyFill="1" applyAlignment="1">
      <alignment horizontal="left"/>
    </xf>
    <xf numFmtId="0" fontId="9" fillId="2" borderId="0" xfId="1" applyFill="1" applyAlignment="1">
      <alignment horizontal="left"/>
    </xf>
    <xf numFmtId="0" fontId="26" fillId="2" borderId="6" xfId="0" applyFont="1" applyFill="1" applyBorder="1" applyAlignment="1">
      <alignment horizontal="center"/>
    </xf>
    <xf numFmtId="49" fontId="3" fillId="0" borderId="12" xfId="0" applyNumberFormat="1" applyFont="1" applyBorder="1" applyAlignment="1" applyProtection="1">
      <alignment horizontal="center"/>
      <protection locked="0"/>
    </xf>
    <xf numFmtId="49" fontId="3" fillId="3" borderId="13" xfId="0" quotePrefix="1" applyNumberFormat="1" applyFont="1" applyFill="1" applyBorder="1" applyAlignment="1">
      <alignment horizontal="center"/>
    </xf>
    <xf numFmtId="49" fontId="3" fillId="0" borderId="13" xfId="0" applyNumberFormat="1" applyFont="1" applyBorder="1" applyAlignment="1" applyProtection="1">
      <alignment horizontal="center"/>
      <protection locked="0"/>
    </xf>
    <xf numFmtId="49" fontId="26" fillId="2" borderId="1" xfId="0" applyNumberFormat="1" applyFont="1" applyFill="1" applyBorder="1" applyAlignment="1">
      <alignment horizontal="center"/>
    </xf>
    <xf numFmtId="0" fontId="4" fillId="2" borderId="0" xfId="0" applyFont="1" applyFill="1" applyAlignment="1">
      <alignment horizontal="center" wrapText="1"/>
    </xf>
    <xf numFmtId="0" fontId="6" fillId="2" borderId="0" xfId="0" applyFont="1" applyFill="1" applyAlignment="1">
      <alignment vertical="center" wrapText="1"/>
    </xf>
    <xf numFmtId="0" fontId="6" fillId="2" borderId="0" xfId="0" applyFont="1" applyFill="1" applyAlignment="1">
      <alignment horizontal="center" vertical="center"/>
    </xf>
    <xf numFmtId="0" fontId="0" fillId="2" borderId="0" xfId="0" applyFill="1" applyAlignment="1">
      <alignment horizontal="center" vertical="center"/>
    </xf>
    <xf numFmtId="0" fontId="6" fillId="0" borderId="0" xfId="0" applyFont="1" applyAlignment="1">
      <alignment vertical="center" wrapText="1"/>
    </xf>
    <xf numFmtId="0" fontId="6" fillId="2" borderId="0" xfId="0" applyFont="1" applyFill="1" applyAlignment="1">
      <alignment vertical="center"/>
    </xf>
    <xf numFmtId="0" fontId="0" fillId="0" borderId="0" xfId="0" applyAlignment="1">
      <alignment horizontal="center"/>
    </xf>
    <xf numFmtId="0" fontId="0" fillId="3" borderId="6" xfId="0" applyFill="1" applyBorder="1" applyAlignment="1">
      <alignment horizontal="center" wrapText="1"/>
    </xf>
    <xf numFmtId="0" fontId="6" fillId="14" borderId="0" xfId="0" applyFont="1" applyFill="1" applyAlignment="1">
      <alignment horizontal="left" vertical="center" wrapText="1"/>
    </xf>
    <xf numFmtId="0" fontId="0" fillId="0" borderId="0" xfId="0" applyAlignment="1"/>
    <xf numFmtId="0" fontId="0" fillId="0" borderId="6" xfId="0" applyBorder="1" applyAlignment="1"/>
    <xf numFmtId="0" fontId="11" fillId="2" borderId="0" xfId="0" applyFont="1" applyFill="1" applyAlignment="1"/>
    <xf numFmtId="0" fontId="11" fillId="14" borderId="0" xfId="0" applyFont="1" applyFill="1" applyAlignment="1"/>
    <xf numFmtId="0" fontId="0" fillId="0" borderId="0" xfId="0" applyAlignment="1" applyProtection="1">
      <protection locked="0"/>
    </xf>
    <xf numFmtId="0" fontId="9" fillId="0" borderId="0" xfId="1" applyAlignment="1"/>
    <xf numFmtId="0" fontId="0" fillId="0" borderId="4" xfId="0" applyBorder="1" applyAlignment="1"/>
    <xf numFmtId="0" fontId="0" fillId="0" borderId="2" xfId="0" applyBorder="1" applyAlignment="1" applyProtection="1">
      <protection locked="0"/>
    </xf>
    <xf numFmtId="0" fontId="0" fillId="0" borderId="11" xfId="0" applyBorder="1" applyAlignment="1" applyProtection="1">
      <protection locked="0"/>
    </xf>
    <xf numFmtId="0" fontId="0" fillId="0" borderId="9" xfId="0" applyBorder="1" applyAlignment="1" applyProtection="1">
      <protection locked="0"/>
    </xf>
    <xf numFmtId="0" fontId="0" fillId="0" borderId="11" xfId="0" applyBorder="1" applyAlignment="1"/>
    <xf numFmtId="0" fontId="0" fillId="0" borderId="9" xfId="0" applyBorder="1" applyAlignment="1"/>
    <xf numFmtId="0" fontId="0" fillId="0" borderId="1" xfId="0" applyBorder="1" applyAlignment="1"/>
    <xf numFmtId="0" fontId="0" fillId="0" borderId="2" xfId="0" applyBorder="1" applyAlignment="1"/>
    <xf numFmtId="0" fontId="0" fillId="0" borderId="3" xfId="0" applyBorder="1" applyAlignment="1"/>
    <xf numFmtId="0" fontId="0" fillId="0" borderId="29" xfId="0" applyBorder="1" applyAlignment="1"/>
    <xf numFmtId="0" fontId="0" fillId="0" borderId="7" xfId="0" applyBorder="1" applyAlignment="1"/>
    <xf numFmtId="0" fontId="0" fillId="0" borderId="10" xfId="0" applyBorder="1" applyAlignment="1" applyProtection="1">
      <protection locked="0"/>
    </xf>
    <xf numFmtId="0" fontId="0" fillId="0" borderId="17" xfId="0" applyBorder="1" applyAlignment="1" applyProtection="1">
      <protection locked="0"/>
    </xf>
    <xf numFmtId="0" fontId="0" fillId="0" borderId="18" xfId="0" applyBorder="1" applyAlignment="1" applyProtection="1">
      <protection locked="0"/>
    </xf>
    <xf numFmtId="0" fontId="0" fillId="0" borderId="19" xfId="0" applyBorder="1" applyAlignment="1" applyProtection="1">
      <protection locked="0"/>
    </xf>
    <xf numFmtId="0" fontId="0" fillId="0" borderId="20" xfId="0" applyBorder="1" applyAlignment="1" applyProtection="1">
      <protection locked="0"/>
    </xf>
    <xf numFmtId="0" fontId="0" fillId="0" borderId="21" xfId="0" applyBorder="1" applyAlignment="1" applyProtection="1">
      <protection locked="0"/>
    </xf>
    <xf numFmtId="0" fontId="0" fillId="0" borderId="22" xfId="0" applyBorder="1" applyAlignment="1" applyProtection="1">
      <protection locked="0"/>
    </xf>
    <xf numFmtId="0" fontId="0" fillId="0" borderId="1" xfId="0" applyBorder="1" applyAlignment="1" applyProtection="1">
      <protection locked="0"/>
    </xf>
    <xf numFmtId="0" fontId="0" fillId="0" borderId="3" xfId="0" applyBorder="1" applyAlignment="1" applyProtection="1">
      <protection locked="0"/>
    </xf>
    <xf numFmtId="0" fontId="0" fillId="0" borderId="4" xfId="0"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0" fontId="0" fillId="0" borderId="7" xfId="0" applyBorder="1" applyAlignment="1" applyProtection="1">
      <protection locked="0"/>
    </xf>
    <xf numFmtId="0" fontId="0" fillId="0" borderId="15" xfId="0" applyBorder="1" applyAlignment="1"/>
    <xf numFmtId="0" fontId="0" fillId="0" borderId="24" xfId="0" applyBorder="1" applyAlignment="1" applyProtection="1">
      <protection locked="0"/>
    </xf>
    <xf numFmtId="0" fontId="0" fillId="0" borderId="24" xfId="0" applyBorder="1" applyAlignment="1"/>
    <xf numFmtId="0" fontId="42" fillId="0" borderId="0" xfId="0" applyFont="1" applyAlignment="1"/>
  </cellXfs>
  <cellStyles count="5">
    <cellStyle name="Hyperlink" xfId="1" builtinId="8"/>
    <cellStyle name="Normal" xfId="0" builtinId="0"/>
    <cellStyle name="Normal 12" xfId="3" xr:uid="{00000000-0005-0000-0000-000003000000}"/>
    <cellStyle name="Normal 2" xfId="2" xr:uid="{00000000-0005-0000-0000-000002000000}"/>
    <cellStyle name="Normal 2 2 2" xfId="4" xr:uid="{00000000-0005-0000-0000-000004000000}"/>
  </cellStyles>
  <dxfs count="3">
    <dxf>
      <font>
        <color theme="0" tint="-0.499984740745262"/>
      </font>
      <fill>
        <patternFill>
          <bgColor theme="0" tint="-0.24994659260841701"/>
        </patternFill>
      </fill>
    </dxf>
    <dxf>
      <font>
        <b/>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369794</xdr:colOff>
      <xdr:row>0</xdr:row>
      <xdr:rowOff>112059</xdr:rowOff>
    </xdr:from>
    <xdr:to>
      <xdr:col>9</xdr:col>
      <xdr:colOff>440391</xdr:colOff>
      <xdr:row>3</xdr:row>
      <xdr:rowOff>123489</xdr:rowOff>
    </xdr:to>
    <xdr:pic>
      <xdr:nvPicPr>
        <xdr:cNvPr id="5" name="Pictur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srcRect/>
        <a:stretch>
          <a:fillRect/>
        </a:stretch>
      </xdr:blipFill>
      <xdr:spPr bwMode="auto">
        <a:xfrm>
          <a:off x="4000500" y="112059"/>
          <a:ext cx="1885950" cy="586105"/>
        </a:xfrm>
        <a:prstGeom prst="rect">
          <a:avLst/>
        </a:prstGeom>
        <a:noFill/>
        <a:ln>
          <a:noFill/>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payroll@admin.ox.ac.uk" TargetMode="External"/><Relationship Id="rId1" Type="http://schemas.openxmlformats.org/officeDocument/2006/relationships/hyperlink" Target="mailto:payroll@admin.ox.ac.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3"/>
  <sheetViews>
    <sheetView workbookViewId="0"/>
  </sheetViews>
  <sheetFormatPr defaultColWidth="8.85546875" defaultRowHeight="12.6"/>
  <cols>
    <col min="1" max="1" width="5.7109375" style="52" bestFit="1" customWidth="1"/>
    <col min="2" max="2" width="52.140625" style="52" customWidth="1"/>
    <col min="3" max="4" width="8.85546875" style="52" customWidth="1"/>
    <col min="5" max="16384" width="8.85546875" style="52"/>
  </cols>
  <sheetData>
    <row r="1" spans="1:2" ht="12.95" customHeight="1">
      <c r="A1" s="71" t="s">
        <v>0</v>
      </c>
    </row>
    <row r="2" spans="1:2" ht="12.95" customHeight="1">
      <c r="A2" s="110" t="s">
        <v>1</v>
      </c>
      <c r="B2" s="111" t="s">
        <v>2</v>
      </c>
    </row>
    <row r="3" spans="1:2">
      <c r="A3" s="112" t="s">
        <v>3</v>
      </c>
      <c r="B3" s="112" t="s">
        <v>4</v>
      </c>
    </row>
    <row r="4" spans="1:2">
      <c r="A4" s="112" t="s">
        <v>5</v>
      </c>
      <c r="B4" s="112" t="s">
        <v>6</v>
      </c>
    </row>
    <row r="5" spans="1:2">
      <c r="A5" s="112" t="s">
        <v>7</v>
      </c>
      <c r="B5" s="112" t="s">
        <v>8</v>
      </c>
    </row>
    <row r="6" spans="1:2">
      <c r="A6" s="112" t="s">
        <v>9</v>
      </c>
      <c r="B6" s="112" t="s">
        <v>10</v>
      </c>
    </row>
    <row r="7" spans="1:2">
      <c r="A7" s="112" t="s">
        <v>11</v>
      </c>
      <c r="B7" s="112" t="s">
        <v>12</v>
      </c>
    </row>
    <row r="8" spans="1:2">
      <c r="A8" s="112" t="s">
        <v>13</v>
      </c>
      <c r="B8" s="112" t="s">
        <v>14</v>
      </c>
    </row>
    <row r="9" spans="1:2">
      <c r="A9" s="112" t="s">
        <v>15</v>
      </c>
      <c r="B9" s="112" t="s">
        <v>16</v>
      </c>
    </row>
    <row r="10" spans="1:2">
      <c r="A10" s="112" t="s">
        <v>17</v>
      </c>
      <c r="B10" s="112" t="s">
        <v>4</v>
      </c>
    </row>
    <row r="11" spans="1:2">
      <c r="A11" s="112" t="s">
        <v>18</v>
      </c>
      <c r="B11" s="112" t="s">
        <v>19</v>
      </c>
    </row>
    <row r="12" spans="1:2">
      <c r="A12" s="112" t="s">
        <v>20</v>
      </c>
      <c r="B12" s="112" t="s">
        <v>21</v>
      </c>
    </row>
    <row r="13" spans="1:2">
      <c r="A13" s="112" t="s">
        <v>22</v>
      </c>
      <c r="B13" s="112" t="s">
        <v>23</v>
      </c>
    </row>
    <row r="14" spans="1:2">
      <c r="A14" s="112" t="s">
        <v>24</v>
      </c>
      <c r="B14" s="112" t="s">
        <v>25</v>
      </c>
    </row>
    <row r="15" spans="1:2">
      <c r="A15" s="112" t="s">
        <v>26</v>
      </c>
      <c r="B15" s="112" t="s">
        <v>27</v>
      </c>
    </row>
    <row r="16" spans="1:2">
      <c r="A16" s="112" t="s">
        <v>28</v>
      </c>
      <c r="B16" s="112" t="s">
        <v>29</v>
      </c>
    </row>
    <row r="17" spans="1:2">
      <c r="A17" s="112" t="s">
        <v>30</v>
      </c>
      <c r="B17" s="112" t="s">
        <v>31</v>
      </c>
    </row>
    <row r="18" spans="1:2">
      <c r="A18" s="112" t="s">
        <v>32</v>
      </c>
      <c r="B18" s="112" t="s">
        <v>33</v>
      </c>
    </row>
    <row r="19" spans="1:2">
      <c r="A19" s="112" t="s">
        <v>34</v>
      </c>
      <c r="B19" s="112" t="s">
        <v>35</v>
      </c>
    </row>
    <row r="20" spans="1:2">
      <c r="A20" s="112" t="s">
        <v>36</v>
      </c>
      <c r="B20" s="112" t="s">
        <v>37</v>
      </c>
    </row>
    <row r="21" spans="1:2">
      <c r="A21" s="112" t="s">
        <v>38</v>
      </c>
      <c r="B21" s="112" t="s">
        <v>39</v>
      </c>
    </row>
    <row r="22" spans="1:2">
      <c r="A22" s="112" t="s">
        <v>40</v>
      </c>
      <c r="B22" s="112" t="s">
        <v>41</v>
      </c>
    </row>
    <row r="23" spans="1:2">
      <c r="A23" s="112" t="s">
        <v>42</v>
      </c>
      <c r="B23" s="112" t="s">
        <v>43</v>
      </c>
    </row>
    <row r="24" spans="1:2">
      <c r="A24" s="112" t="s">
        <v>44</v>
      </c>
      <c r="B24" s="112" t="s">
        <v>45</v>
      </c>
    </row>
    <row r="25" spans="1:2">
      <c r="A25" s="112" t="s">
        <v>46</v>
      </c>
      <c r="B25" s="112" t="s">
        <v>47</v>
      </c>
    </row>
    <row r="26" spans="1:2">
      <c r="A26" s="112" t="s">
        <v>48</v>
      </c>
      <c r="B26" s="112" t="s">
        <v>49</v>
      </c>
    </row>
    <row r="27" spans="1:2">
      <c r="A27" s="112" t="s">
        <v>50</v>
      </c>
      <c r="B27" s="112" t="s">
        <v>51</v>
      </c>
    </row>
    <row r="28" spans="1:2">
      <c r="A28" s="112" t="s">
        <v>52</v>
      </c>
      <c r="B28" s="112" t="s">
        <v>53</v>
      </c>
    </row>
    <row r="29" spans="1:2">
      <c r="A29" s="112" t="s">
        <v>54</v>
      </c>
      <c r="B29" s="112" t="s">
        <v>55</v>
      </c>
    </row>
    <row r="30" spans="1:2">
      <c r="A30" s="112" t="s">
        <v>56</v>
      </c>
      <c r="B30" s="112" t="s">
        <v>57</v>
      </c>
    </row>
    <row r="31" spans="1:2">
      <c r="A31" s="112" t="s">
        <v>58</v>
      </c>
      <c r="B31" s="112" t="s">
        <v>59</v>
      </c>
    </row>
    <row r="32" spans="1:2">
      <c r="A32" s="112" t="s">
        <v>60</v>
      </c>
      <c r="B32" s="112" t="s">
        <v>61</v>
      </c>
    </row>
    <row r="33" spans="1:2">
      <c r="A33" s="112" t="s">
        <v>62</v>
      </c>
      <c r="B33" s="112" t="s">
        <v>63</v>
      </c>
    </row>
    <row r="34" spans="1:2">
      <c r="A34" s="112" t="s">
        <v>64</v>
      </c>
      <c r="B34" s="112" t="s">
        <v>65</v>
      </c>
    </row>
    <row r="35" spans="1:2">
      <c r="A35" s="112" t="s">
        <v>66</v>
      </c>
      <c r="B35" s="112" t="s">
        <v>67</v>
      </c>
    </row>
    <row r="36" spans="1:2">
      <c r="A36" s="112" t="s">
        <v>68</v>
      </c>
      <c r="B36" s="112" t="s">
        <v>69</v>
      </c>
    </row>
    <row r="37" spans="1:2">
      <c r="A37" s="112" t="s">
        <v>70</v>
      </c>
      <c r="B37" s="112" t="s">
        <v>71</v>
      </c>
    </row>
    <row r="38" spans="1:2">
      <c r="A38" s="112" t="s">
        <v>72</v>
      </c>
      <c r="B38" s="112" t="s">
        <v>73</v>
      </c>
    </row>
    <row r="39" spans="1:2">
      <c r="A39" s="112" t="s">
        <v>74</v>
      </c>
      <c r="B39" s="112" t="s">
        <v>75</v>
      </c>
    </row>
    <row r="40" spans="1:2">
      <c r="A40" s="112" t="s">
        <v>76</v>
      </c>
      <c r="B40" s="112" t="s">
        <v>77</v>
      </c>
    </row>
    <row r="41" spans="1:2">
      <c r="A41" s="112" t="s">
        <v>78</v>
      </c>
      <c r="B41" s="112" t="s">
        <v>79</v>
      </c>
    </row>
    <row r="42" spans="1:2">
      <c r="A42" s="112" t="s">
        <v>80</v>
      </c>
      <c r="B42" s="112" t="s">
        <v>81</v>
      </c>
    </row>
    <row r="43" spans="1:2">
      <c r="A43" s="112" t="s">
        <v>82</v>
      </c>
      <c r="B43" s="112" t="s">
        <v>83</v>
      </c>
    </row>
    <row r="44" spans="1:2">
      <c r="A44" s="112" t="s">
        <v>84</v>
      </c>
      <c r="B44" s="112" t="s">
        <v>85</v>
      </c>
    </row>
    <row r="45" spans="1:2">
      <c r="A45" s="112" t="s">
        <v>86</v>
      </c>
      <c r="B45" s="112" t="s">
        <v>87</v>
      </c>
    </row>
    <row r="46" spans="1:2">
      <c r="A46" s="112" t="s">
        <v>88</v>
      </c>
      <c r="B46" s="112" t="s">
        <v>89</v>
      </c>
    </row>
    <row r="47" spans="1:2">
      <c r="A47" s="112" t="s">
        <v>90</v>
      </c>
      <c r="B47" s="112" t="s">
        <v>91</v>
      </c>
    </row>
    <row r="48" spans="1:2">
      <c r="A48" s="112" t="s">
        <v>92</v>
      </c>
      <c r="B48" s="112" t="s">
        <v>93</v>
      </c>
    </row>
    <row r="49" spans="1:2">
      <c r="A49" s="112" t="s">
        <v>94</v>
      </c>
      <c r="B49" s="112" t="s">
        <v>95</v>
      </c>
    </row>
    <row r="50" spans="1:2" ht="12.95" customHeight="1">
      <c r="A50" s="113" t="s">
        <v>96</v>
      </c>
      <c r="B50" s="114" t="s">
        <v>97</v>
      </c>
    </row>
    <row r="51" spans="1:2">
      <c r="A51" s="112" t="s">
        <v>98</v>
      </c>
      <c r="B51" s="112" t="s">
        <v>99</v>
      </c>
    </row>
    <row r="52" spans="1:2">
      <c r="A52" s="112" t="s">
        <v>100</v>
      </c>
      <c r="B52" s="112" t="s">
        <v>101</v>
      </c>
    </row>
    <row r="53" spans="1:2">
      <c r="A53" s="112" t="s">
        <v>102</v>
      </c>
      <c r="B53" s="112" t="s">
        <v>103</v>
      </c>
    </row>
    <row r="54" spans="1:2">
      <c r="A54" s="112" t="s">
        <v>104</v>
      </c>
      <c r="B54" s="112" t="s">
        <v>105</v>
      </c>
    </row>
    <row r="55" spans="1:2">
      <c r="A55" s="112" t="s">
        <v>106</v>
      </c>
      <c r="B55" s="112" t="s">
        <v>107</v>
      </c>
    </row>
    <row r="56" spans="1:2">
      <c r="A56" s="112" t="s">
        <v>108</v>
      </c>
      <c r="B56" s="112" t="s">
        <v>109</v>
      </c>
    </row>
    <row r="57" spans="1:2">
      <c r="A57" s="112" t="s">
        <v>110</v>
      </c>
      <c r="B57" s="112" t="s">
        <v>111</v>
      </c>
    </row>
    <row r="58" spans="1:2">
      <c r="A58" s="112" t="s">
        <v>112</v>
      </c>
      <c r="B58" s="112" t="s">
        <v>113</v>
      </c>
    </row>
    <row r="59" spans="1:2">
      <c r="A59" s="112" t="s">
        <v>114</v>
      </c>
      <c r="B59" s="112" t="s">
        <v>115</v>
      </c>
    </row>
    <row r="60" spans="1:2">
      <c r="A60" s="112" t="s">
        <v>116</v>
      </c>
      <c r="B60" s="112" t="s">
        <v>117</v>
      </c>
    </row>
    <row r="61" spans="1:2">
      <c r="A61" s="112" t="s">
        <v>118</v>
      </c>
      <c r="B61" s="112" t="s">
        <v>119</v>
      </c>
    </row>
    <row r="62" spans="1:2">
      <c r="A62" s="112" t="s">
        <v>120</v>
      </c>
      <c r="B62" s="112" t="s">
        <v>121</v>
      </c>
    </row>
    <row r="63" spans="1:2">
      <c r="A63" s="112" t="s">
        <v>122</v>
      </c>
      <c r="B63" s="112" t="s">
        <v>123</v>
      </c>
    </row>
    <row r="64" spans="1:2">
      <c r="A64" s="112" t="s">
        <v>124</v>
      </c>
      <c r="B64" s="112" t="s">
        <v>125</v>
      </c>
    </row>
    <row r="65" spans="1:2">
      <c r="A65" s="112" t="s">
        <v>126</v>
      </c>
      <c r="B65" s="112" t="s">
        <v>127</v>
      </c>
    </row>
    <row r="66" spans="1:2">
      <c r="A66" s="112" t="s">
        <v>128</v>
      </c>
      <c r="B66" s="112" t="s">
        <v>129</v>
      </c>
    </row>
    <row r="67" spans="1:2">
      <c r="A67" s="112" t="s">
        <v>130</v>
      </c>
      <c r="B67" s="112" t="s">
        <v>131</v>
      </c>
    </row>
    <row r="68" spans="1:2">
      <c r="A68" s="112" t="s">
        <v>132</v>
      </c>
      <c r="B68" s="112" t="s">
        <v>133</v>
      </c>
    </row>
    <row r="69" spans="1:2">
      <c r="A69" s="112" t="s">
        <v>134</v>
      </c>
      <c r="B69" s="112" t="s">
        <v>135</v>
      </c>
    </row>
    <row r="70" spans="1:2">
      <c r="A70" s="112" t="s">
        <v>136</v>
      </c>
      <c r="B70" s="112" t="s">
        <v>137</v>
      </c>
    </row>
    <row r="71" spans="1:2">
      <c r="A71" s="112" t="s">
        <v>138</v>
      </c>
      <c r="B71" s="112" t="s">
        <v>139</v>
      </c>
    </row>
    <row r="72" spans="1:2">
      <c r="A72" s="112" t="s">
        <v>140</v>
      </c>
      <c r="B72" s="112" t="s">
        <v>141</v>
      </c>
    </row>
    <row r="73" spans="1:2">
      <c r="A73" s="112" t="s">
        <v>142</v>
      </c>
      <c r="B73" s="112" t="s">
        <v>143</v>
      </c>
    </row>
    <row r="74" spans="1:2">
      <c r="A74" s="112" t="s">
        <v>144</v>
      </c>
      <c r="B74" s="112" t="s">
        <v>145</v>
      </c>
    </row>
    <row r="75" spans="1:2">
      <c r="A75" s="112" t="s">
        <v>146</v>
      </c>
      <c r="B75" s="112" t="s">
        <v>147</v>
      </c>
    </row>
    <row r="76" spans="1:2">
      <c r="A76" s="112" t="s">
        <v>148</v>
      </c>
      <c r="B76" s="112" t="s">
        <v>149</v>
      </c>
    </row>
    <row r="77" spans="1:2">
      <c r="A77" s="112" t="s">
        <v>150</v>
      </c>
      <c r="B77" s="112" t="s">
        <v>151</v>
      </c>
    </row>
    <row r="78" spans="1:2">
      <c r="A78" s="112" t="s">
        <v>152</v>
      </c>
      <c r="B78" s="112" t="s">
        <v>153</v>
      </c>
    </row>
    <row r="79" spans="1:2">
      <c r="A79" s="112" t="s">
        <v>154</v>
      </c>
      <c r="B79" s="112" t="s">
        <v>155</v>
      </c>
    </row>
    <row r="80" spans="1:2">
      <c r="A80" s="112" t="s">
        <v>156</v>
      </c>
      <c r="B80" s="112" t="s">
        <v>157</v>
      </c>
    </row>
    <row r="81" spans="1:2">
      <c r="A81" s="112" t="s">
        <v>158</v>
      </c>
      <c r="B81" s="112" t="s">
        <v>159</v>
      </c>
    </row>
    <row r="82" spans="1:2">
      <c r="A82" s="112" t="s">
        <v>160</v>
      </c>
      <c r="B82" s="112" t="s">
        <v>161</v>
      </c>
    </row>
    <row r="83" spans="1:2">
      <c r="A83" s="112" t="s">
        <v>162</v>
      </c>
      <c r="B83" s="112" t="s">
        <v>163</v>
      </c>
    </row>
    <row r="84" spans="1:2">
      <c r="A84" s="112" t="s">
        <v>164</v>
      </c>
      <c r="B84" s="112" t="s">
        <v>165</v>
      </c>
    </row>
    <row r="85" spans="1:2">
      <c r="A85" s="112" t="s">
        <v>166</v>
      </c>
      <c r="B85" s="112" t="s">
        <v>167</v>
      </c>
    </row>
    <row r="86" spans="1:2">
      <c r="A86" s="112" t="s">
        <v>168</v>
      </c>
      <c r="B86" s="112" t="s">
        <v>169</v>
      </c>
    </row>
    <row r="87" spans="1:2">
      <c r="A87" s="112" t="s">
        <v>170</v>
      </c>
      <c r="B87" s="112" t="s">
        <v>171</v>
      </c>
    </row>
    <row r="88" spans="1:2">
      <c r="A88" s="112" t="s">
        <v>172</v>
      </c>
      <c r="B88" s="112" t="s">
        <v>173</v>
      </c>
    </row>
    <row r="89" spans="1:2">
      <c r="A89" s="112" t="s">
        <v>174</v>
      </c>
      <c r="B89" s="112" t="s">
        <v>175</v>
      </c>
    </row>
    <row r="90" spans="1:2">
      <c r="A90" s="112" t="s">
        <v>176</v>
      </c>
      <c r="B90" s="112" t="s">
        <v>177</v>
      </c>
    </row>
    <row r="91" spans="1:2">
      <c r="A91" s="112" t="s">
        <v>178</v>
      </c>
      <c r="B91" s="112" t="s">
        <v>179</v>
      </c>
    </row>
    <row r="92" spans="1:2">
      <c r="A92" s="112" t="s">
        <v>180</v>
      </c>
      <c r="B92" s="112" t="s">
        <v>181</v>
      </c>
    </row>
    <row r="93" spans="1:2">
      <c r="A93" s="112" t="s">
        <v>182</v>
      </c>
      <c r="B93" s="112" t="s">
        <v>183</v>
      </c>
    </row>
    <row r="94" spans="1:2">
      <c r="A94" s="112" t="s">
        <v>184</v>
      </c>
      <c r="B94" s="112" t="s">
        <v>185</v>
      </c>
    </row>
    <row r="95" spans="1:2">
      <c r="A95" s="112" t="s">
        <v>186</v>
      </c>
      <c r="B95" s="112" t="s">
        <v>187</v>
      </c>
    </row>
    <row r="96" spans="1:2">
      <c r="A96" s="112" t="s">
        <v>188</v>
      </c>
      <c r="B96" s="112" t="s">
        <v>189</v>
      </c>
    </row>
    <row r="97" spans="1:2">
      <c r="A97" s="112" t="s">
        <v>190</v>
      </c>
      <c r="B97" s="112" t="s">
        <v>191</v>
      </c>
    </row>
    <row r="98" spans="1:2">
      <c r="A98" s="112" t="s">
        <v>192</v>
      </c>
      <c r="B98" s="112" t="s">
        <v>193</v>
      </c>
    </row>
    <row r="99" spans="1:2">
      <c r="A99" s="112" t="s">
        <v>194</v>
      </c>
      <c r="B99" s="112" t="s">
        <v>195</v>
      </c>
    </row>
    <row r="100" spans="1:2">
      <c r="A100" s="112" t="s">
        <v>196</v>
      </c>
      <c r="B100" s="112" t="s">
        <v>197</v>
      </c>
    </row>
    <row r="101" spans="1:2">
      <c r="A101" s="112" t="s">
        <v>198</v>
      </c>
      <c r="B101" s="112" t="s">
        <v>199</v>
      </c>
    </row>
    <row r="102" spans="1:2">
      <c r="A102" s="112" t="s">
        <v>200</v>
      </c>
      <c r="B102" s="112" t="s">
        <v>201</v>
      </c>
    </row>
    <row r="103" spans="1:2">
      <c r="A103" s="112" t="s">
        <v>202</v>
      </c>
      <c r="B103" s="112" t="s">
        <v>203</v>
      </c>
    </row>
    <row r="104" spans="1:2">
      <c r="A104" s="112" t="s">
        <v>204</v>
      </c>
      <c r="B104" s="112" t="s">
        <v>205</v>
      </c>
    </row>
    <row r="105" spans="1:2">
      <c r="A105" s="112" t="s">
        <v>206</v>
      </c>
      <c r="B105" s="112" t="s">
        <v>207</v>
      </c>
    </row>
    <row r="106" spans="1:2">
      <c r="A106" s="112" t="s">
        <v>208</v>
      </c>
      <c r="B106" s="112" t="s">
        <v>209</v>
      </c>
    </row>
    <row r="107" spans="1:2">
      <c r="A107" s="112" t="s">
        <v>210</v>
      </c>
      <c r="B107" s="112" t="s">
        <v>211</v>
      </c>
    </row>
    <row r="108" spans="1:2">
      <c r="A108" s="112" t="s">
        <v>212</v>
      </c>
      <c r="B108" s="112" t="s">
        <v>213</v>
      </c>
    </row>
    <row r="109" spans="1:2">
      <c r="A109" s="112" t="s">
        <v>214</v>
      </c>
      <c r="B109" s="112" t="s">
        <v>215</v>
      </c>
    </row>
    <row r="110" spans="1:2">
      <c r="A110" s="112" t="s">
        <v>216</v>
      </c>
      <c r="B110" s="112" t="s">
        <v>217</v>
      </c>
    </row>
    <row r="111" spans="1:2">
      <c r="A111" s="112" t="s">
        <v>218</v>
      </c>
      <c r="B111" s="112" t="s">
        <v>219</v>
      </c>
    </row>
    <row r="112" spans="1:2">
      <c r="A112" s="112" t="s">
        <v>220</v>
      </c>
      <c r="B112" s="112" t="s">
        <v>221</v>
      </c>
    </row>
    <row r="113" spans="1:2">
      <c r="A113" s="112" t="s">
        <v>222</v>
      </c>
      <c r="B113" s="112" t="s">
        <v>223</v>
      </c>
    </row>
    <row r="114" spans="1:2">
      <c r="A114" s="112" t="s">
        <v>224</v>
      </c>
      <c r="B114" s="112" t="s">
        <v>225</v>
      </c>
    </row>
    <row r="115" spans="1:2">
      <c r="A115" s="112" t="s">
        <v>226</v>
      </c>
      <c r="B115" s="112" t="s">
        <v>227</v>
      </c>
    </row>
    <row r="116" spans="1:2">
      <c r="A116" s="112" t="s">
        <v>228</v>
      </c>
      <c r="B116" s="112" t="s">
        <v>229</v>
      </c>
    </row>
    <row r="117" spans="1:2">
      <c r="A117" s="112" t="s">
        <v>230</v>
      </c>
      <c r="B117" s="112" t="s">
        <v>231</v>
      </c>
    </row>
    <row r="118" spans="1:2">
      <c r="A118" s="112" t="s">
        <v>232</v>
      </c>
      <c r="B118" s="112" t="s">
        <v>233</v>
      </c>
    </row>
    <row r="119" spans="1:2">
      <c r="A119" s="112" t="s">
        <v>234</v>
      </c>
      <c r="B119" s="112" t="s">
        <v>235</v>
      </c>
    </row>
    <row r="120" spans="1:2">
      <c r="A120" s="112" t="s">
        <v>236</v>
      </c>
      <c r="B120" s="112" t="s">
        <v>237</v>
      </c>
    </row>
    <row r="121" spans="1:2">
      <c r="A121" s="112" t="s">
        <v>238</v>
      </c>
      <c r="B121" s="112" t="s">
        <v>239</v>
      </c>
    </row>
    <row r="122" spans="1:2" ht="12.95" customHeight="1">
      <c r="A122" s="113" t="s">
        <v>240</v>
      </c>
      <c r="B122" s="114" t="s">
        <v>241</v>
      </c>
    </row>
    <row r="123" spans="1:2">
      <c r="A123" s="112" t="s">
        <v>242</v>
      </c>
      <c r="B123" s="112" t="s">
        <v>243</v>
      </c>
    </row>
    <row r="124" spans="1:2">
      <c r="A124" s="112" t="s">
        <v>244</v>
      </c>
      <c r="B124" s="112" t="s">
        <v>245</v>
      </c>
    </row>
    <row r="125" spans="1:2">
      <c r="A125" s="112" t="s">
        <v>246</v>
      </c>
      <c r="B125" s="112" t="s">
        <v>247</v>
      </c>
    </row>
    <row r="126" spans="1:2">
      <c r="A126" s="112" t="s">
        <v>248</v>
      </c>
      <c r="B126" s="112" t="s">
        <v>249</v>
      </c>
    </row>
    <row r="127" spans="1:2">
      <c r="A127" s="112" t="s">
        <v>250</v>
      </c>
      <c r="B127" s="112" t="s">
        <v>251</v>
      </c>
    </row>
    <row r="128" spans="1:2">
      <c r="A128" s="112" t="s">
        <v>252</v>
      </c>
      <c r="B128" s="112" t="s">
        <v>253</v>
      </c>
    </row>
    <row r="129" spans="1:2">
      <c r="A129" s="112" t="s">
        <v>254</v>
      </c>
      <c r="B129" s="112" t="s">
        <v>255</v>
      </c>
    </row>
    <row r="130" spans="1:2">
      <c r="A130" s="112" t="s">
        <v>256</v>
      </c>
      <c r="B130" s="112" t="s">
        <v>257</v>
      </c>
    </row>
    <row r="131" spans="1:2">
      <c r="A131" s="112" t="s">
        <v>258</v>
      </c>
      <c r="B131" s="112" t="s">
        <v>259</v>
      </c>
    </row>
    <row r="132" spans="1:2">
      <c r="A132" s="112" t="s">
        <v>260</v>
      </c>
      <c r="B132" s="112" t="s">
        <v>261</v>
      </c>
    </row>
    <row r="133" spans="1:2">
      <c r="A133" s="112" t="s">
        <v>262</v>
      </c>
      <c r="B133" s="112" t="s">
        <v>263</v>
      </c>
    </row>
    <row r="134" spans="1:2">
      <c r="A134" s="112" t="s">
        <v>264</v>
      </c>
      <c r="B134" s="112" t="s">
        <v>265</v>
      </c>
    </row>
    <row r="135" spans="1:2">
      <c r="A135" s="112" t="s">
        <v>266</v>
      </c>
      <c r="B135" s="112" t="s">
        <v>267</v>
      </c>
    </row>
    <row r="136" spans="1:2">
      <c r="A136" s="112" t="s">
        <v>268</v>
      </c>
      <c r="B136" s="112" t="s">
        <v>269</v>
      </c>
    </row>
    <row r="137" spans="1:2">
      <c r="A137" s="112" t="s">
        <v>270</v>
      </c>
      <c r="B137" s="112" t="s">
        <v>271</v>
      </c>
    </row>
    <row r="138" spans="1:2">
      <c r="A138" s="112" t="s">
        <v>272</v>
      </c>
      <c r="B138" s="112" t="s">
        <v>273</v>
      </c>
    </row>
    <row r="139" spans="1:2">
      <c r="A139" s="112" t="s">
        <v>274</v>
      </c>
      <c r="B139" s="112" t="s">
        <v>275</v>
      </c>
    </row>
    <row r="140" spans="1:2">
      <c r="A140" s="112" t="s">
        <v>276</v>
      </c>
      <c r="B140" s="112" t="s">
        <v>277</v>
      </c>
    </row>
    <row r="141" spans="1:2">
      <c r="A141" s="112" t="s">
        <v>278</v>
      </c>
      <c r="B141" s="112" t="s">
        <v>279</v>
      </c>
    </row>
    <row r="142" spans="1:2">
      <c r="A142" s="112" t="s">
        <v>280</v>
      </c>
      <c r="B142" s="112" t="s">
        <v>281</v>
      </c>
    </row>
    <row r="143" spans="1:2">
      <c r="A143" s="112" t="s">
        <v>282</v>
      </c>
      <c r="B143" s="112" t="s">
        <v>283</v>
      </c>
    </row>
    <row r="144" spans="1:2">
      <c r="A144" s="112" t="s">
        <v>284</v>
      </c>
      <c r="B144" s="112" t="s">
        <v>285</v>
      </c>
    </row>
    <row r="145" spans="1:2">
      <c r="A145" s="112" t="s">
        <v>286</v>
      </c>
      <c r="B145" s="112" t="s">
        <v>287</v>
      </c>
    </row>
    <row r="146" spans="1:2">
      <c r="A146" s="112" t="s">
        <v>288</v>
      </c>
      <c r="B146" s="112" t="s">
        <v>289</v>
      </c>
    </row>
    <row r="147" spans="1:2">
      <c r="A147" s="112" t="s">
        <v>290</v>
      </c>
      <c r="B147" s="112" t="s">
        <v>291</v>
      </c>
    </row>
    <row r="148" spans="1:2">
      <c r="A148" s="112" t="s">
        <v>292</v>
      </c>
      <c r="B148" s="112" t="s">
        <v>293</v>
      </c>
    </row>
    <row r="149" spans="1:2">
      <c r="A149" s="112" t="s">
        <v>294</v>
      </c>
      <c r="B149" s="112" t="s">
        <v>295</v>
      </c>
    </row>
    <row r="150" spans="1:2">
      <c r="A150" s="112" t="s">
        <v>296</v>
      </c>
      <c r="B150" s="112" t="s">
        <v>297</v>
      </c>
    </row>
    <row r="151" spans="1:2">
      <c r="A151" s="112" t="s">
        <v>298</v>
      </c>
      <c r="B151" s="112" t="s">
        <v>299</v>
      </c>
    </row>
    <row r="152" spans="1:2">
      <c r="A152" s="112" t="s">
        <v>300</v>
      </c>
      <c r="B152" s="112" t="s">
        <v>301</v>
      </c>
    </row>
    <row r="153" spans="1:2">
      <c r="A153" s="112" t="s">
        <v>302</v>
      </c>
      <c r="B153" s="112" t="s">
        <v>303</v>
      </c>
    </row>
    <row r="154" spans="1:2" ht="12.95" customHeight="1">
      <c r="A154" s="113" t="s">
        <v>304</v>
      </c>
      <c r="B154" s="113" t="s">
        <v>305</v>
      </c>
    </row>
    <row r="155" spans="1:2">
      <c r="A155" s="112" t="s">
        <v>306</v>
      </c>
      <c r="B155" s="112" t="s">
        <v>307</v>
      </c>
    </row>
    <row r="156" spans="1:2">
      <c r="A156" s="112" t="s">
        <v>308</v>
      </c>
      <c r="B156" s="112" t="s">
        <v>309</v>
      </c>
    </row>
    <row r="157" spans="1:2">
      <c r="A157" s="112" t="s">
        <v>310</v>
      </c>
      <c r="B157" s="112" t="s">
        <v>311</v>
      </c>
    </row>
    <row r="158" spans="1:2">
      <c r="A158" s="112" t="s">
        <v>312</v>
      </c>
      <c r="B158" s="112" t="s">
        <v>313</v>
      </c>
    </row>
    <row r="159" spans="1:2">
      <c r="A159" s="112" t="s">
        <v>314</v>
      </c>
      <c r="B159" s="112" t="s">
        <v>315</v>
      </c>
    </row>
    <row r="160" spans="1:2">
      <c r="A160" s="112" t="s">
        <v>316</v>
      </c>
      <c r="B160" s="112" t="s">
        <v>317</v>
      </c>
    </row>
    <row r="161" spans="1:2">
      <c r="A161" s="112" t="s">
        <v>318</v>
      </c>
      <c r="B161" s="112" t="s">
        <v>319</v>
      </c>
    </row>
    <row r="162" spans="1:2">
      <c r="A162" s="112" t="s">
        <v>320</v>
      </c>
      <c r="B162" s="112" t="s">
        <v>321</v>
      </c>
    </row>
    <row r="163" spans="1:2">
      <c r="A163" s="112" t="s">
        <v>322</v>
      </c>
      <c r="B163" s="112" t="s">
        <v>323</v>
      </c>
    </row>
    <row r="164" spans="1:2" ht="12.95" customHeight="1">
      <c r="A164" s="113" t="s">
        <v>324</v>
      </c>
      <c r="B164" s="114" t="s">
        <v>325</v>
      </c>
    </row>
    <row r="165" spans="1:2">
      <c r="A165" s="112" t="s">
        <v>326</v>
      </c>
      <c r="B165" s="112" t="s">
        <v>327</v>
      </c>
    </row>
    <row r="166" spans="1:2">
      <c r="A166" s="112" t="s">
        <v>328</v>
      </c>
      <c r="B166" s="112" t="s">
        <v>329</v>
      </c>
    </row>
    <row r="167" spans="1:2">
      <c r="A167" s="112" t="s">
        <v>330</v>
      </c>
      <c r="B167" s="112" t="s">
        <v>331</v>
      </c>
    </row>
    <row r="168" spans="1:2">
      <c r="A168" s="112" t="s">
        <v>332</v>
      </c>
      <c r="B168" s="112" t="s">
        <v>333</v>
      </c>
    </row>
    <row r="169" spans="1:2">
      <c r="A169" s="112" t="s">
        <v>334</v>
      </c>
      <c r="B169" s="112" t="s">
        <v>335</v>
      </c>
    </row>
    <row r="170" spans="1:2">
      <c r="A170" s="112" t="s">
        <v>336</v>
      </c>
      <c r="B170" s="112" t="s">
        <v>337</v>
      </c>
    </row>
    <row r="171" spans="1:2">
      <c r="A171" s="112" t="s">
        <v>338</v>
      </c>
      <c r="B171" s="112" t="s">
        <v>339</v>
      </c>
    </row>
    <row r="172" spans="1:2">
      <c r="A172" s="112" t="s">
        <v>340</v>
      </c>
      <c r="B172" s="112" t="s">
        <v>341</v>
      </c>
    </row>
    <row r="173" spans="1:2">
      <c r="A173" s="112" t="s">
        <v>342</v>
      </c>
      <c r="B173" s="112" t="s">
        <v>343</v>
      </c>
    </row>
    <row r="174" spans="1:2">
      <c r="A174" s="112" t="s">
        <v>344</v>
      </c>
      <c r="B174" s="112" t="s">
        <v>345</v>
      </c>
    </row>
    <row r="175" spans="1:2">
      <c r="A175" s="112" t="s">
        <v>346</v>
      </c>
      <c r="B175" s="112" t="s">
        <v>347</v>
      </c>
    </row>
    <row r="176" spans="1:2">
      <c r="A176" s="112" t="s">
        <v>348</v>
      </c>
      <c r="B176" s="112" t="s">
        <v>349</v>
      </c>
    </row>
    <row r="177" spans="1:2">
      <c r="A177" s="112" t="s">
        <v>350</v>
      </c>
      <c r="B177" s="112" t="s">
        <v>351</v>
      </c>
    </row>
    <row r="178" spans="1:2">
      <c r="A178" s="112" t="s">
        <v>352</v>
      </c>
      <c r="B178" s="112" t="s">
        <v>353</v>
      </c>
    </row>
    <row r="179" spans="1:2">
      <c r="A179" s="112" t="s">
        <v>354</v>
      </c>
      <c r="B179" s="112" t="s">
        <v>355</v>
      </c>
    </row>
    <row r="180" spans="1:2">
      <c r="A180" s="112" t="s">
        <v>356</v>
      </c>
      <c r="B180" s="112" t="s">
        <v>357</v>
      </c>
    </row>
    <row r="181" spans="1:2">
      <c r="A181" s="112" t="s">
        <v>358</v>
      </c>
      <c r="B181" s="112" t="s">
        <v>359</v>
      </c>
    </row>
    <row r="182" spans="1:2">
      <c r="A182" s="112" t="s">
        <v>360</v>
      </c>
      <c r="B182" s="112" t="s">
        <v>361</v>
      </c>
    </row>
    <row r="183" spans="1:2">
      <c r="A183" s="112" t="s">
        <v>362</v>
      </c>
      <c r="B183" s="112" t="s">
        <v>363</v>
      </c>
    </row>
    <row r="184" spans="1:2">
      <c r="A184" s="112" t="s">
        <v>364</v>
      </c>
      <c r="B184" s="112" t="s">
        <v>365</v>
      </c>
    </row>
    <row r="185" spans="1:2">
      <c r="A185" s="112" t="s">
        <v>366</v>
      </c>
      <c r="B185" s="112" t="s">
        <v>367</v>
      </c>
    </row>
    <row r="186" spans="1:2">
      <c r="A186" s="112" t="s">
        <v>368</v>
      </c>
      <c r="B186" s="112" t="s">
        <v>369</v>
      </c>
    </row>
    <row r="187" spans="1:2">
      <c r="A187" s="112" t="s">
        <v>370</v>
      </c>
      <c r="B187" s="112" t="s">
        <v>371</v>
      </c>
    </row>
    <row r="188" spans="1:2">
      <c r="A188" s="112" t="s">
        <v>372</v>
      </c>
      <c r="B188" s="112" t="s">
        <v>373</v>
      </c>
    </row>
    <row r="189" spans="1:2">
      <c r="A189" s="112" t="s">
        <v>374</v>
      </c>
      <c r="B189" s="112" t="s">
        <v>375</v>
      </c>
    </row>
    <row r="190" spans="1:2">
      <c r="A190" s="112" t="s">
        <v>376</v>
      </c>
      <c r="B190" s="112" t="s">
        <v>377</v>
      </c>
    </row>
    <row r="191" spans="1:2">
      <c r="A191" s="112" t="s">
        <v>378</v>
      </c>
      <c r="B191" s="112" t="s">
        <v>379</v>
      </c>
    </row>
    <row r="192" spans="1:2">
      <c r="A192" s="112" t="s">
        <v>380</v>
      </c>
      <c r="B192" s="112" t="s">
        <v>381</v>
      </c>
    </row>
    <row r="193" spans="1:2">
      <c r="A193" s="112" t="s">
        <v>382</v>
      </c>
      <c r="B193" s="112" t="s">
        <v>383</v>
      </c>
    </row>
    <row r="194" spans="1:2">
      <c r="A194" s="112" t="s">
        <v>384</v>
      </c>
      <c r="B194" s="112" t="s">
        <v>385</v>
      </c>
    </row>
    <row r="195" spans="1:2">
      <c r="A195" s="112" t="s">
        <v>386</v>
      </c>
      <c r="B195" s="112" t="s">
        <v>387</v>
      </c>
    </row>
    <row r="196" spans="1:2">
      <c r="A196" s="112" t="s">
        <v>388</v>
      </c>
      <c r="B196" s="112" t="s">
        <v>389</v>
      </c>
    </row>
    <row r="197" spans="1:2">
      <c r="A197" s="112" t="s">
        <v>390</v>
      </c>
      <c r="B197" s="112" t="s">
        <v>391</v>
      </c>
    </row>
    <row r="198" spans="1:2">
      <c r="A198" s="112" t="s">
        <v>392</v>
      </c>
      <c r="B198" s="112" t="s">
        <v>393</v>
      </c>
    </row>
    <row r="199" spans="1:2">
      <c r="A199" s="112" t="s">
        <v>394</v>
      </c>
      <c r="B199" s="112" t="s">
        <v>395</v>
      </c>
    </row>
    <row r="200" spans="1:2">
      <c r="A200" s="112" t="s">
        <v>396</v>
      </c>
      <c r="B200" s="112" t="s">
        <v>397</v>
      </c>
    </row>
    <row r="201" spans="1:2">
      <c r="A201" s="112" t="s">
        <v>398</v>
      </c>
      <c r="B201" s="112" t="s">
        <v>399</v>
      </c>
    </row>
    <row r="202" spans="1:2">
      <c r="A202" s="112" t="s">
        <v>400</v>
      </c>
      <c r="B202" s="112" t="s">
        <v>401</v>
      </c>
    </row>
    <row r="203" spans="1:2">
      <c r="A203" s="112" t="s">
        <v>402</v>
      </c>
      <c r="B203" s="112" t="s">
        <v>403</v>
      </c>
    </row>
    <row r="205" spans="1:2">
      <c r="B205" s="51"/>
    </row>
    <row r="207" spans="1:2">
      <c r="A207" s="49"/>
      <c r="B207" s="50"/>
    </row>
    <row r="209" spans="1:2">
      <c r="A209" s="49"/>
      <c r="B209" s="50"/>
    </row>
    <row r="212" spans="1:2">
      <c r="A212" s="49"/>
      <c r="B212" s="50"/>
    </row>
    <row r="214" spans="1:2">
      <c r="A214" s="49"/>
      <c r="B214" s="50"/>
    </row>
    <row r="216" spans="1:2">
      <c r="A216" s="49"/>
      <c r="B216" s="50"/>
    </row>
    <row r="217" spans="1:2">
      <c r="A217" s="49"/>
      <c r="B217" s="50"/>
    </row>
    <row r="219" spans="1:2">
      <c r="A219" s="49"/>
      <c r="B219" s="50"/>
    </row>
    <row r="221" spans="1:2">
      <c r="A221" s="49"/>
      <c r="B221" s="50"/>
    </row>
    <row r="222" spans="1:2">
      <c r="B222" s="51"/>
    </row>
    <row r="223" spans="1:2">
      <c r="A223" s="49"/>
      <c r="B223" s="50"/>
    </row>
    <row r="224" spans="1:2">
      <c r="A224" s="49"/>
      <c r="B224" s="50"/>
    </row>
    <row r="225" spans="1:2">
      <c r="A225" s="49"/>
      <c r="B225" s="50"/>
    </row>
    <row r="227" spans="1:2">
      <c r="A227" s="49"/>
      <c r="B227" s="51"/>
    </row>
    <row r="228" spans="1:2">
      <c r="A228" s="49"/>
      <c r="B228" s="50"/>
    </row>
    <row r="230" spans="1:2">
      <c r="A230" s="49"/>
      <c r="B230" s="50"/>
    </row>
    <row r="231" spans="1:2">
      <c r="A231" s="49"/>
      <c r="B231" s="50"/>
    </row>
    <row r="233" spans="1:2">
      <c r="B233" s="5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pageSetUpPr fitToPage="1"/>
  </sheetPr>
  <dimension ref="A1:O270"/>
  <sheetViews>
    <sheetView zoomScale="80" zoomScaleNormal="80" workbookViewId="0">
      <selection activeCell="K16" sqref="K16"/>
    </sheetView>
  </sheetViews>
  <sheetFormatPr defaultRowHeight="14.45"/>
  <cols>
    <col min="1" max="1" width="11.85546875" bestFit="1" customWidth="1"/>
    <col min="3" max="3" width="44" customWidth="1"/>
    <col min="5" max="5" width="58.5703125" bestFit="1" customWidth="1"/>
    <col min="6" max="6" width="18.28515625" customWidth="1"/>
    <col min="7" max="7" width="6.28515625" customWidth="1"/>
    <col min="8" max="8" width="56.140625" bestFit="1" customWidth="1"/>
    <col min="9" max="9" width="13.42578125" bestFit="1" customWidth="1"/>
    <col min="10" max="10" width="14.28515625" bestFit="1" customWidth="1"/>
    <col min="11" max="11" width="15.28515625" bestFit="1" customWidth="1"/>
    <col min="12" max="12" width="15" customWidth="1"/>
    <col min="14" max="14" width="44.7109375" bestFit="1" customWidth="1"/>
  </cols>
  <sheetData>
    <row r="1" spans="1:15">
      <c r="C1" s="8" t="s">
        <v>404</v>
      </c>
      <c r="I1" s="202" t="s">
        <v>405</v>
      </c>
      <c r="J1" s="205"/>
      <c r="K1" s="205"/>
      <c r="L1" s="13">
        <v>45203</v>
      </c>
    </row>
    <row r="2" spans="1:15">
      <c r="A2" s="4" t="s">
        <v>406</v>
      </c>
      <c r="C2" s="4" t="s">
        <v>407</v>
      </c>
      <c r="E2" s="4" t="s">
        <v>408</v>
      </c>
      <c r="F2" s="4" t="s">
        <v>409</v>
      </c>
      <c r="G2" s="46"/>
      <c r="H2" s="4" t="s">
        <v>410</v>
      </c>
      <c r="I2" s="4" t="s">
        <v>411</v>
      </c>
      <c r="J2" s="4" t="s">
        <v>412</v>
      </c>
      <c r="K2" s="12" t="s">
        <v>413</v>
      </c>
      <c r="L2" s="4" t="s">
        <v>414</v>
      </c>
      <c r="N2" s="19" t="s">
        <v>415</v>
      </c>
    </row>
    <row r="3" spans="1:15" ht="15.75" customHeight="1">
      <c r="A3" s="5" t="s">
        <v>404</v>
      </c>
      <c r="C3" s="5" t="s">
        <v>404</v>
      </c>
      <c r="E3" s="5" t="s">
        <v>404</v>
      </c>
      <c r="F3" s="10" t="s">
        <v>416</v>
      </c>
      <c r="G3" s="11"/>
      <c r="H3" t="s">
        <v>417</v>
      </c>
      <c r="I3" s="70">
        <v>716</v>
      </c>
      <c r="J3" s="70">
        <v>716</v>
      </c>
      <c r="K3" s="14">
        <v>716</v>
      </c>
      <c r="L3" s="70">
        <v>716</v>
      </c>
      <c r="N3" s="115">
        <v>1035</v>
      </c>
      <c r="O3" t="s">
        <v>418</v>
      </c>
    </row>
    <row r="4" spans="1:15" ht="15.75" customHeight="1">
      <c r="A4" t="s">
        <v>419</v>
      </c>
      <c r="C4" t="s">
        <v>420</v>
      </c>
      <c r="E4" t="s">
        <v>417</v>
      </c>
      <c r="F4" s="17">
        <v>5</v>
      </c>
      <c r="H4" t="s">
        <v>421</v>
      </c>
      <c r="I4" s="70">
        <v>827</v>
      </c>
      <c r="J4" s="70">
        <v>827</v>
      </c>
      <c r="K4" s="14">
        <v>719</v>
      </c>
      <c r="L4" s="70">
        <v>719</v>
      </c>
      <c r="N4" s="115">
        <v>776</v>
      </c>
      <c r="O4" t="s">
        <v>422</v>
      </c>
    </row>
    <row r="5" spans="1:15">
      <c r="A5" t="s">
        <v>423</v>
      </c>
      <c r="C5" t="s">
        <v>424</v>
      </c>
      <c r="E5" t="s">
        <v>421</v>
      </c>
      <c r="F5" s="17">
        <v>3</v>
      </c>
      <c r="H5" t="s">
        <v>425</v>
      </c>
      <c r="I5" s="70">
        <v>1500</v>
      </c>
      <c r="J5" s="70">
        <v>1500</v>
      </c>
      <c r="K5" s="14">
        <v>1420</v>
      </c>
      <c r="L5" s="70">
        <v>1420</v>
      </c>
    </row>
    <row r="6" spans="1:15">
      <c r="A6" t="s">
        <v>426</v>
      </c>
      <c r="C6" t="s">
        <v>427</v>
      </c>
      <c r="E6" t="s">
        <v>425</v>
      </c>
      <c r="F6" s="17">
        <v>5</v>
      </c>
      <c r="H6" t="s">
        <v>428</v>
      </c>
      <c r="I6" s="70">
        <v>822</v>
      </c>
      <c r="J6" s="70">
        <v>822</v>
      </c>
      <c r="K6" s="15"/>
      <c r="L6" s="16"/>
      <c r="N6" s="32" t="s">
        <v>429</v>
      </c>
    </row>
    <row r="7" spans="1:15" ht="15.75" customHeight="1">
      <c r="A7" t="s">
        <v>430</v>
      </c>
      <c r="C7" t="s">
        <v>431</v>
      </c>
      <c r="E7" t="s">
        <v>428</v>
      </c>
      <c r="F7" s="17">
        <v>3</v>
      </c>
      <c r="H7" t="s">
        <v>432</v>
      </c>
      <c r="I7" s="70">
        <v>1048</v>
      </c>
      <c r="J7" s="70">
        <v>1048</v>
      </c>
      <c r="K7" s="14">
        <v>1846</v>
      </c>
      <c r="L7" s="70">
        <v>1846</v>
      </c>
      <c r="N7" s="116">
        <v>8500</v>
      </c>
    </row>
    <row r="8" spans="1:15">
      <c r="A8" t="s">
        <v>433</v>
      </c>
      <c r="C8" t="s">
        <v>434</v>
      </c>
      <c r="E8" t="s">
        <v>432</v>
      </c>
      <c r="F8" s="18">
        <v>2.5</v>
      </c>
      <c r="H8" t="s">
        <v>435</v>
      </c>
      <c r="I8" s="70">
        <v>1048</v>
      </c>
      <c r="J8" s="70">
        <v>1048</v>
      </c>
      <c r="K8" s="14">
        <v>637</v>
      </c>
      <c r="L8" s="70">
        <v>637</v>
      </c>
    </row>
    <row r="9" spans="1:15">
      <c r="A9" t="s">
        <v>436</v>
      </c>
      <c r="C9" t="s">
        <v>437</v>
      </c>
      <c r="E9" t="s">
        <v>438</v>
      </c>
      <c r="F9" s="18">
        <v>2.5</v>
      </c>
      <c r="H9" t="s">
        <v>438</v>
      </c>
      <c r="I9" s="70">
        <v>180</v>
      </c>
      <c r="J9" s="70">
        <v>180</v>
      </c>
      <c r="K9" s="14">
        <v>180</v>
      </c>
      <c r="L9" s="70">
        <v>180</v>
      </c>
      <c r="N9" s="47" t="s">
        <v>439</v>
      </c>
    </row>
    <row r="10" spans="1:15" ht="15.75" customHeight="1">
      <c r="A10" t="s">
        <v>440</v>
      </c>
      <c r="C10" t="s">
        <v>441</v>
      </c>
      <c r="E10" t="s">
        <v>442</v>
      </c>
      <c r="F10" s="18">
        <v>5</v>
      </c>
      <c r="H10" t="s">
        <v>442</v>
      </c>
      <c r="I10" s="70">
        <v>250</v>
      </c>
      <c r="J10" s="70">
        <v>250</v>
      </c>
      <c r="K10" s="14">
        <v>250</v>
      </c>
      <c r="L10" s="70">
        <v>250</v>
      </c>
      <c r="N10" s="117">
        <v>24</v>
      </c>
    </row>
    <row r="11" spans="1:15">
      <c r="A11" t="s">
        <v>443</v>
      </c>
      <c r="C11" t="s">
        <v>444</v>
      </c>
      <c r="E11" t="s">
        <v>435</v>
      </c>
      <c r="F11" s="18">
        <v>5</v>
      </c>
      <c r="H11" t="s">
        <v>445</v>
      </c>
      <c r="I11" s="70">
        <v>2885</v>
      </c>
      <c r="J11" s="70">
        <v>2885</v>
      </c>
      <c r="K11" s="15"/>
      <c r="L11" s="16"/>
    </row>
    <row r="12" spans="1:15">
      <c r="A12" t="s">
        <v>446</v>
      </c>
      <c r="C12" t="s">
        <v>447</v>
      </c>
      <c r="E12" t="s">
        <v>445</v>
      </c>
      <c r="F12" s="9" t="s">
        <v>448</v>
      </c>
      <c r="H12" t="s">
        <v>449</v>
      </c>
      <c r="I12" s="70">
        <v>2885</v>
      </c>
      <c r="J12" s="70">
        <v>2885</v>
      </c>
      <c r="K12" s="15"/>
      <c r="L12" s="16"/>
    </row>
    <row r="13" spans="1:15">
      <c r="C13" t="s">
        <v>450</v>
      </c>
      <c r="E13" t="s">
        <v>449</v>
      </c>
      <c r="F13" s="9" t="s">
        <v>448</v>
      </c>
      <c r="H13" t="s">
        <v>451</v>
      </c>
      <c r="I13" s="70">
        <v>1630</v>
      </c>
      <c r="J13" s="61"/>
      <c r="K13" s="15"/>
      <c r="L13" s="16"/>
      <c r="N13" s="203" t="s">
        <v>452</v>
      </c>
    </row>
    <row r="14" spans="1:15">
      <c r="C14" t="s">
        <v>453</v>
      </c>
      <c r="E14" t="s">
        <v>451</v>
      </c>
      <c r="F14" s="9" t="s">
        <v>448</v>
      </c>
      <c r="H14" t="s">
        <v>454</v>
      </c>
      <c r="I14" s="70">
        <v>1214</v>
      </c>
      <c r="J14" s="61"/>
      <c r="K14" s="15"/>
      <c r="L14" s="16"/>
      <c r="N14" s="206"/>
    </row>
    <row r="15" spans="1:15">
      <c r="C15" t="s">
        <v>455</v>
      </c>
      <c r="E15" t="s">
        <v>454</v>
      </c>
      <c r="F15" s="9" t="s">
        <v>448</v>
      </c>
      <c r="M15" s="31" t="s">
        <v>456</v>
      </c>
      <c r="N15" s="118" t="b">
        <v>0</v>
      </c>
    </row>
    <row r="16" spans="1:15">
      <c r="C16" t="s">
        <v>457</v>
      </c>
      <c r="M16" s="31" t="s">
        <v>458</v>
      </c>
      <c r="N16" s="118" t="b">
        <v>0</v>
      </c>
    </row>
    <row r="17" spans="3:15">
      <c r="C17" t="s">
        <v>459</v>
      </c>
    </row>
    <row r="18" spans="3:15">
      <c r="C18" t="s">
        <v>460</v>
      </c>
    </row>
    <row r="19" spans="3:15">
      <c r="C19" t="s">
        <v>461</v>
      </c>
      <c r="N19" s="24" t="s">
        <v>462</v>
      </c>
    </row>
    <row r="20" spans="3:15">
      <c r="C20" t="s">
        <v>463</v>
      </c>
      <c r="N20" s="118" t="b">
        <v>0</v>
      </c>
    </row>
    <row r="21" spans="3:15">
      <c r="C21" t="s">
        <v>464</v>
      </c>
    </row>
    <row r="22" spans="3:15">
      <c r="C22" t="s">
        <v>465</v>
      </c>
      <c r="N22" s="24" t="s">
        <v>466</v>
      </c>
    </row>
    <row r="23" spans="3:15">
      <c r="C23" t="s">
        <v>467</v>
      </c>
      <c r="M23" s="31"/>
      <c r="N23" s="119" t="str">
        <f>IF($O$23&lt;&gt;"",IF($O$23=1,"UK bank",IF($O$23=2,"OVERSEAS bank","")),"")</f>
        <v>UK bank</v>
      </c>
      <c r="O23" s="120">
        <v>1</v>
      </c>
    </row>
    <row r="24" spans="3:15">
      <c r="C24" t="s">
        <v>468</v>
      </c>
      <c r="M24" s="31"/>
    </row>
    <row r="25" spans="3:15">
      <c r="C25" t="s">
        <v>469</v>
      </c>
    </row>
    <row r="26" spans="3:15">
      <c r="C26" t="s">
        <v>470</v>
      </c>
    </row>
    <row r="27" spans="3:15">
      <c r="C27" t="s">
        <v>471</v>
      </c>
    </row>
    <row r="28" spans="3:15">
      <c r="C28" t="s">
        <v>472</v>
      </c>
    </row>
    <row r="29" spans="3:15">
      <c r="C29" t="s">
        <v>473</v>
      </c>
    </row>
    <row r="30" spans="3:15">
      <c r="C30" t="s">
        <v>474</v>
      </c>
    </row>
    <row r="31" spans="3:15">
      <c r="C31" t="s">
        <v>475</v>
      </c>
    </row>
    <row r="32" spans="3:15">
      <c r="C32" t="s">
        <v>476</v>
      </c>
    </row>
    <row r="33" spans="3:3">
      <c r="C33" t="s">
        <v>477</v>
      </c>
    </row>
    <row r="34" spans="3:3">
      <c r="C34" t="s">
        <v>478</v>
      </c>
    </row>
    <row r="35" spans="3:3">
      <c r="C35" t="s">
        <v>479</v>
      </c>
    </row>
    <row r="36" spans="3:3">
      <c r="C36" t="s">
        <v>480</v>
      </c>
    </row>
    <row r="37" spans="3:3">
      <c r="C37" t="s">
        <v>481</v>
      </c>
    </row>
    <row r="38" spans="3:3">
      <c r="C38" t="s">
        <v>482</v>
      </c>
    </row>
    <row r="39" spans="3:3">
      <c r="C39" t="s">
        <v>483</v>
      </c>
    </row>
    <row r="40" spans="3:3">
      <c r="C40" t="s">
        <v>484</v>
      </c>
    </row>
    <row r="41" spans="3:3">
      <c r="C41" t="s">
        <v>485</v>
      </c>
    </row>
    <row r="42" spans="3:3">
      <c r="C42" t="s">
        <v>486</v>
      </c>
    </row>
    <row r="43" spans="3:3">
      <c r="C43" t="s">
        <v>487</v>
      </c>
    </row>
    <row r="44" spans="3:3">
      <c r="C44" t="s">
        <v>488</v>
      </c>
    </row>
    <row r="45" spans="3:3">
      <c r="C45" t="s">
        <v>489</v>
      </c>
    </row>
    <row r="46" spans="3:3">
      <c r="C46" t="s">
        <v>490</v>
      </c>
    </row>
    <row r="47" spans="3:3">
      <c r="C47" t="s">
        <v>491</v>
      </c>
    </row>
    <row r="48" spans="3:3">
      <c r="C48" t="s">
        <v>492</v>
      </c>
    </row>
    <row r="49" spans="3:3">
      <c r="C49" t="s">
        <v>493</v>
      </c>
    </row>
    <row r="50" spans="3:3">
      <c r="C50" t="s">
        <v>494</v>
      </c>
    </row>
    <row r="51" spans="3:3">
      <c r="C51" t="s">
        <v>495</v>
      </c>
    </row>
    <row r="52" spans="3:3">
      <c r="C52" t="s">
        <v>496</v>
      </c>
    </row>
    <row r="53" spans="3:3">
      <c r="C53" t="s">
        <v>497</v>
      </c>
    </row>
    <row r="54" spans="3:3">
      <c r="C54" t="s">
        <v>498</v>
      </c>
    </row>
    <row r="55" spans="3:3">
      <c r="C55" t="s">
        <v>499</v>
      </c>
    </row>
    <row r="56" spans="3:3">
      <c r="C56" t="s">
        <v>500</v>
      </c>
    </row>
    <row r="57" spans="3:3">
      <c r="C57" t="s">
        <v>501</v>
      </c>
    </row>
    <row r="58" spans="3:3">
      <c r="C58" t="s">
        <v>502</v>
      </c>
    </row>
    <row r="59" spans="3:3">
      <c r="C59" t="s">
        <v>503</v>
      </c>
    </row>
    <row r="60" spans="3:3">
      <c r="C60" t="s">
        <v>504</v>
      </c>
    </row>
    <row r="61" spans="3:3">
      <c r="C61" t="s">
        <v>505</v>
      </c>
    </row>
    <row r="62" spans="3:3">
      <c r="C62" t="s">
        <v>506</v>
      </c>
    </row>
    <row r="63" spans="3:3">
      <c r="C63" s="20" t="s">
        <v>507</v>
      </c>
    </row>
    <row r="64" spans="3:3">
      <c r="C64" t="s">
        <v>508</v>
      </c>
    </row>
    <row r="65" spans="3:3">
      <c r="C65" t="s">
        <v>509</v>
      </c>
    </row>
    <row r="66" spans="3:3">
      <c r="C66" t="s">
        <v>510</v>
      </c>
    </row>
    <row r="67" spans="3:3">
      <c r="C67" t="s">
        <v>511</v>
      </c>
    </row>
    <row r="68" spans="3:3">
      <c r="C68" t="s">
        <v>512</v>
      </c>
    </row>
    <row r="69" spans="3:3">
      <c r="C69" t="s">
        <v>513</v>
      </c>
    </row>
    <row r="70" spans="3:3">
      <c r="C70" t="s">
        <v>514</v>
      </c>
    </row>
    <row r="71" spans="3:3">
      <c r="C71" t="s">
        <v>515</v>
      </c>
    </row>
    <row r="72" spans="3:3">
      <c r="C72" t="s">
        <v>516</v>
      </c>
    </row>
    <row r="73" spans="3:3">
      <c r="C73" t="s">
        <v>517</v>
      </c>
    </row>
    <row r="74" spans="3:3">
      <c r="C74" t="s">
        <v>518</v>
      </c>
    </row>
    <row r="75" spans="3:3">
      <c r="C75" t="s">
        <v>519</v>
      </c>
    </row>
    <row r="76" spans="3:3">
      <c r="C76" t="s">
        <v>520</v>
      </c>
    </row>
    <row r="77" spans="3:3">
      <c r="C77" t="s">
        <v>521</v>
      </c>
    </row>
    <row r="78" spans="3:3">
      <c r="C78" t="s">
        <v>522</v>
      </c>
    </row>
    <row r="79" spans="3:3">
      <c r="C79" t="s">
        <v>523</v>
      </c>
    </row>
    <row r="80" spans="3:3">
      <c r="C80" t="s">
        <v>524</v>
      </c>
    </row>
    <row r="81" spans="3:3">
      <c r="C81" t="s">
        <v>525</v>
      </c>
    </row>
    <row r="82" spans="3:3">
      <c r="C82" t="s">
        <v>526</v>
      </c>
    </row>
    <row r="83" spans="3:3">
      <c r="C83" t="s">
        <v>527</v>
      </c>
    </row>
    <row r="84" spans="3:3">
      <c r="C84" t="s">
        <v>528</v>
      </c>
    </row>
    <row r="85" spans="3:3">
      <c r="C85" t="s">
        <v>529</v>
      </c>
    </row>
    <row r="86" spans="3:3">
      <c r="C86" t="s">
        <v>530</v>
      </c>
    </row>
    <row r="87" spans="3:3">
      <c r="C87" t="s">
        <v>531</v>
      </c>
    </row>
    <row r="88" spans="3:3">
      <c r="C88" t="s">
        <v>532</v>
      </c>
    </row>
    <row r="89" spans="3:3">
      <c r="C89" t="s">
        <v>533</v>
      </c>
    </row>
    <row r="90" spans="3:3">
      <c r="C90" t="s">
        <v>534</v>
      </c>
    </row>
    <row r="91" spans="3:3">
      <c r="C91" t="s">
        <v>535</v>
      </c>
    </row>
    <row r="92" spans="3:3">
      <c r="C92" t="s">
        <v>536</v>
      </c>
    </row>
    <row r="93" spans="3:3">
      <c r="C93" t="s">
        <v>537</v>
      </c>
    </row>
    <row r="94" spans="3:3">
      <c r="C94" t="s">
        <v>538</v>
      </c>
    </row>
    <row r="95" spans="3:3">
      <c r="C95" t="s">
        <v>539</v>
      </c>
    </row>
    <row r="96" spans="3:3">
      <c r="C96" t="s">
        <v>540</v>
      </c>
    </row>
    <row r="97" spans="3:3">
      <c r="C97" t="s">
        <v>541</v>
      </c>
    </row>
    <row r="98" spans="3:3">
      <c r="C98" t="s">
        <v>542</v>
      </c>
    </row>
    <row r="99" spans="3:3">
      <c r="C99" t="s">
        <v>543</v>
      </c>
    </row>
    <row r="100" spans="3:3">
      <c r="C100" t="s">
        <v>544</v>
      </c>
    </row>
    <row r="101" spans="3:3">
      <c r="C101" t="s">
        <v>545</v>
      </c>
    </row>
    <row r="102" spans="3:3">
      <c r="C102" t="s">
        <v>546</v>
      </c>
    </row>
    <row r="103" spans="3:3">
      <c r="C103" t="s">
        <v>547</v>
      </c>
    </row>
    <row r="104" spans="3:3">
      <c r="C104" t="s">
        <v>548</v>
      </c>
    </row>
    <row r="105" spans="3:3">
      <c r="C105" t="s">
        <v>549</v>
      </c>
    </row>
    <row r="106" spans="3:3">
      <c r="C106" t="s">
        <v>550</v>
      </c>
    </row>
    <row r="107" spans="3:3">
      <c r="C107" t="s">
        <v>551</v>
      </c>
    </row>
    <row r="108" spans="3:3">
      <c r="C108" t="s">
        <v>552</v>
      </c>
    </row>
    <row r="109" spans="3:3">
      <c r="C109" t="s">
        <v>553</v>
      </c>
    </row>
    <row r="110" spans="3:3">
      <c r="C110" t="s">
        <v>554</v>
      </c>
    </row>
    <row r="111" spans="3:3">
      <c r="C111" t="s">
        <v>555</v>
      </c>
    </row>
    <row r="112" spans="3:3">
      <c r="C112" t="s">
        <v>556</v>
      </c>
    </row>
    <row r="113" spans="3:3">
      <c r="C113" t="s">
        <v>557</v>
      </c>
    </row>
    <row r="114" spans="3:3">
      <c r="C114" t="s">
        <v>558</v>
      </c>
    </row>
    <row r="115" spans="3:3">
      <c r="C115" t="s">
        <v>559</v>
      </c>
    </row>
    <row r="116" spans="3:3">
      <c r="C116" t="s">
        <v>560</v>
      </c>
    </row>
    <row r="117" spans="3:3">
      <c r="C117" t="s">
        <v>561</v>
      </c>
    </row>
    <row r="118" spans="3:3">
      <c r="C118" t="s">
        <v>562</v>
      </c>
    </row>
    <row r="119" spans="3:3">
      <c r="C119" t="s">
        <v>563</v>
      </c>
    </row>
    <row r="120" spans="3:3">
      <c r="C120" t="s">
        <v>564</v>
      </c>
    </row>
    <row r="121" spans="3:3">
      <c r="C121" t="s">
        <v>565</v>
      </c>
    </row>
    <row r="122" spans="3:3">
      <c r="C122" t="s">
        <v>566</v>
      </c>
    </row>
    <row r="123" spans="3:3">
      <c r="C123" t="s">
        <v>567</v>
      </c>
    </row>
    <row r="124" spans="3:3">
      <c r="C124" t="s">
        <v>568</v>
      </c>
    </row>
    <row r="125" spans="3:3">
      <c r="C125" t="s">
        <v>569</v>
      </c>
    </row>
    <row r="126" spans="3:3">
      <c r="C126" t="s">
        <v>570</v>
      </c>
    </row>
    <row r="127" spans="3:3">
      <c r="C127" t="s">
        <v>571</v>
      </c>
    </row>
    <row r="128" spans="3:3">
      <c r="C128" t="s">
        <v>572</v>
      </c>
    </row>
    <row r="129" spans="3:3">
      <c r="C129" t="s">
        <v>573</v>
      </c>
    </row>
    <row r="130" spans="3:3">
      <c r="C130" t="s">
        <v>574</v>
      </c>
    </row>
    <row r="131" spans="3:3">
      <c r="C131" t="s">
        <v>575</v>
      </c>
    </row>
    <row r="132" spans="3:3">
      <c r="C132" t="s">
        <v>576</v>
      </c>
    </row>
    <row r="133" spans="3:3">
      <c r="C133" t="s">
        <v>577</v>
      </c>
    </row>
    <row r="134" spans="3:3">
      <c r="C134" t="s">
        <v>578</v>
      </c>
    </row>
    <row r="135" spans="3:3">
      <c r="C135" t="s">
        <v>579</v>
      </c>
    </row>
    <row r="136" spans="3:3">
      <c r="C136" t="s">
        <v>580</v>
      </c>
    </row>
    <row r="137" spans="3:3">
      <c r="C137" t="s">
        <v>581</v>
      </c>
    </row>
    <row r="138" spans="3:3">
      <c r="C138" t="s">
        <v>582</v>
      </c>
    </row>
    <row r="139" spans="3:3">
      <c r="C139" t="s">
        <v>583</v>
      </c>
    </row>
    <row r="140" spans="3:3">
      <c r="C140" t="s">
        <v>584</v>
      </c>
    </row>
    <row r="141" spans="3:3">
      <c r="C141" t="s">
        <v>585</v>
      </c>
    </row>
    <row r="142" spans="3:3">
      <c r="C142" t="s">
        <v>586</v>
      </c>
    </row>
    <row r="143" spans="3:3">
      <c r="C143" t="s">
        <v>587</v>
      </c>
    </row>
    <row r="144" spans="3:3">
      <c r="C144" t="s">
        <v>588</v>
      </c>
    </row>
    <row r="145" spans="3:3">
      <c r="C145" t="s">
        <v>589</v>
      </c>
    </row>
    <row r="146" spans="3:3">
      <c r="C146" t="s">
        <v>590</v>
      </c>
    </row>
    <row r="147" spans="3:3">
      <c r="C147" t="s">
        <v>591</v>
      </c>
    </row>
    <row r="148" spans="3:3">
      <c r="C148" t="s">
        <v>592</v>
      </c>
    </row>
    <row r="149" spans="3:3">
      <c r="C149" t="s">
        <v>593</v>
      </c>
    </row>
    <row r="150" spans="3:3">
      <c r="C150" t="s">
        <v>594</v>
      </c>
    </row>
    <row r="151" spans="3:3">
      <c r="C151" t="s">
        <v>595</v>
      </c>
    </row>
    <row r="152" spans="3:3">
      <c r="C152" t="s">
        <v>596</v>
      </c>
    </row>
    <row r="153" spans="3:3">
      <c r="C153" t="s">
        <v>597</v>
      </c>
    </row>
    <row r="154" spans="3:3">
      <c r="C154" t="s">
        <v>598</v>
      </c>
    </row>
    <row r="155" spans="3:3">
      <c r="C155" t="s">
        <v>599</v>
      </c>
    </row>
    <row r="156" spans="3:3">
      <c r="C156" t="s">
        <v>600</v>
      </c>
    </row>
    <row r="157" spans="3:3">
      <c r="C157" t="s">
        <v>601</v>
      </c>
    </row>
    <row r="158" spans="3:3">
      <c r="C158" t="s">
        <v>602</v>
      </c>
    </row>
    <row r="159" spans="3:3">
      <c r="C159" t="s">
        <v>603</v>
      </c>
    </row>
    <row r="160" spans="3:3">
      <c r="C160" t="s">
        <v>604</v>
      </c>
    </row>
    <row r="161" spans="3:3">
      <c r="C161" s="20" t="s">
        <v>605</v>
      </c>
    </row>
    <row r="162" spans="3:3">
      <c r="C162" t="s">
        <v>606</v>
      </c>
    </row>
    <row r="163" spans="3:3">
      <c r="C163" s="6" t="s">
        <v>607</v>
      </c>
    </row>
    <row r="164" spans="3:3">
      <c r="C164" t="s">
        <v>608</v>
      </c>
    </row>
    <row r="165" spans="3:3">
      <c r="C165" t="s">
        <v>609</v>
      </c>
    </row>
    <row r="166" spans="3:3">
      <c r="C166" t="s">
        <v>610</v>
      </c>
    </row>
    <row r="167" spans="3:3">
      <c r="C167" t="s">
        <v>611</v>
      </c>
    </row>
    <row r="168" spans="3:3">
      <c r="C168" t="s">
        <v>612</v>
      </c>
    </row>
    <row r="169" spans="3:3">
      <c r="C169" t="s">
        <v>613</v>
      </c>
    </row>
    <row r="170" spans="3:3">
      <c r="C170" t="s">
        <v>614</v>
      </c>
    </row>
    <row r="171" spans="3:3">
      <c r="C171" t="s">
        <v>615</v>
      </c>
    </row>
    <row r="172" spans="3:3">
      <c r="C172" t="s">
        <v>616</v>
      </c>
    </row>
    <row r="173" spans="3:3">
      <c r="C173" t="s">
        <v>617</v>
      </c>
    </row>
    <row r="174" spans="3:3">
      <c r="C174" t="s">
        <v>618</v>
      </c>
    </row>
    <row r="175" spans="3:3">
      <c r="C175" t="s">
        <v>619</v>
      </c>
    </row>
    <row r="176" spans="3:3">
      <c r="C176" s="6" t="s">
        <v>620</v>
      </c>
    </row>
    <row r="177" spans="3:3">
      <c r="C177" t="s">
        <v>621</v>
      </c>
    </row>
    <row r="178" spans="3:3">
      <c r="C178" t="s">
        <v>622</v>
      </c>
    </row>
    <row r="179" spans="3:3">
      <c r="C179" t="s">
        <v>623</v>
      </c>
    </row>
    <row r="180" spans="3:3">
      <c r="C180" t="s">
        <v>624</v>
      </c>
    </row>
    <row r="181" spans="3:3">
      <c r="C181" t="s">
        <v>625</v>
      </c>
    </row>
    <row r="182" spans="3:3">
      <c r="C182" t="s">
        <v>626</v>
      </c>
    </row>
    <row r="183" spans="3:3">
      <c r="C183" t="s">
        <v>627</v>
      </c>
    </row>
    <row r="184" spans="3:3">
      <c r="C184" t="s">
        <v>628</v>
      </c>
    </row>
    <row r="185" spans="3:3">
      <c r="C185" t="s">
        <v>629</v>
      </c>
    </row>
    <row r="186" spans="3:3">
      <c r="C186" t="s">
        <v>630</v>
      </c>
    </row>
    <row r="187" spans="3:3">
      <c r="C187" t="s">
        <v>631</v>
      </c>
    </row>
    <row r="188" spans="3:3">
      <c r="C188" t="s">
        <v>632</v>
      </c>
    </row>
    <row r="189" spans="3:3">
      <c r="C189" t="s">
        <v>633</v>
      </c>
    </row>
    <row r="190" spans="3:3">
      <c r="C190" t="s">
        <v>634</v>
      </c>
    </row>
    <row r="191" spans="3:3">
      <c r="C191" s="6" t="s">
        <v>635</v>
      </c>
    </row>
    <row r="192" spans="3:3">
      <c r="C192" t="s">
        <v>636</v>
      </c>
    </row>
    <row r="193" spans="3:3">
      <c r="C193" t="s">
        <v>637</v>
      </c>
    </row>
    <row r="194" spans="3:3">
      <c r="C194" t="s">
        <v>638</v>
      </c>
    </row>
    <row r="195" spans="3:3">
      <c r="C195" t="s">
        <v>639</v>
      </c>
    </row>
    <row r="196" spans="3:3">
      <c r="C196" t="s">
        <v>640</v>
      </c>
    </row>
    <row r="197" spans="3:3">
      <c r="C197" t="s">
        <v>641</v>
      </c>
    </row>
    <row r="198" spans="3:3">
      <c r="C198" t="s">
        <v>642</v>
      </c>
    </row>
    <row r="199" spans="3:3">
      <c r="C199" t="s">
        <v>643</v>
      </c>
    </row>
    <row r="200" spans="3:3">
      <c r="C200" t="s">
        <v>644</v>
      </c>
    </row>
    <row r="201" spans="3:3">
      <c r="C201" t="s">
        <v>645</v>
      </c>
    </row>
    <row r="202" spans="3:3">
      <c r="C202" t="s">
        <v>646</v>
      </c>
    </row>
    <row r="203" spans="3:3">
      <c r="C203" t="s">
        <v>647</v>
      </c>
    </row>
    <row r="204" spans="3:3">
      <c r="C204" t="s">
        <v>648</v>
      </c>
    </row>
    <row r="205" spans="3:3">
      <c r="C205" t="s">
        <v>649</v>
      </c>
    </row>
    <row r="206" spans="3:3">
      <c r="C206" t="s">
        <v>650</v>
      </c>
    </row>
    <row r="207" spans="3:3">
      <c r="C207" t="s">
        <v>651</v>
      </c>
    </row>
    <row r="208" spans="3:3">
      <c r="C208" t="s">
        <v>652</v>
      </c>
    </row>
    <row r="209" spans="3:3">
      <c r="C209" t="s">
        <v>653</v>
      </c>
    </row>
    <row r="210" spans="3:3">
      <c r="C210" t="s">
        <v>654</v>
      </c>
    </row>
    <row r="211" spans="3:3">
      <c r="C211" t="s">
        <v>655</v>
      </c>
    </row>
    <row r="212" spans="3:3">
      <c r="C212" t="s">
        <v>656</v>
      </c>
    </row>
    <row r="213" spans="3:3">
      <c r="C213" t="s">
        <v>657</v>
      </c>
    </row>
    <row r="214" spans="3:3">
      <c r="C214" t="s">
        <v>658</v>
      </c>
    </row>
    <row r="215" spans="3:3">
      <c r="C215" t="s">
        <v>659</v>
      </c>
    </row>
    <row r="216" spans="3:3">
      <c r="C216" t="s">
        <v>660</v>
      </c>
    </row>
    <row r="217" spans="3:3">
      <c r="C217" t="s">
        <v>661</v>
      </c>
    </row>
    <row r="218" spans="3:3">
      <c r="C218" t="s">
        <v>662</v>
      </c>
    </row>
    <row r="219" spans="3:3">
      <c r="C219" t="s">
        <v>663</v>
      </c>
    </row>
    <row r="220" spans="3:3">
      <c r="C220" t="s">
        <v>664</v>
      </c>
    </row>
    <row r="221" spans="3:3">
      <c r="C221" t="s">
        <v>665</v>
      </c>
    </row>
    <row r="222" spans="3:3">
      <c r="C222" t="s">
        <v>666</v>
      </c>
    </row>
    <row r="223" spans="3:3">
      <c r="C223" s="6" t="s">
        <v>667</v>
      </c>
    </row>
    <row r="224" spans="3:3">
      <c r="C224" s="6" t="s">
        <v>668</v>
      </c>
    </row>
    <row r="225" spans="3:3">
      <c r="C225" t="s">
        <v>669</v>
      </c>
    </row>
    <row r="226" spans="3:3">
      <c r="C226" t="s">
        <v>670</v>
      </c>
    </row>
    <row r="227" spans="3:3">
      <c r="C227" t="s">
        <v>671</v>
      </c>
    </row>
    <row r="228" spans="3:3">
      <c r="C228" t="s">
        <v>672</v>
      </c>
    </row>
    <row r="229" spans="3:3">
      <c r="C229" t="s">
        <v>673</v>
      </c>
    </row>
    <row r="230" spans="3:3">
      <c r="C230" t="s">
        <v>674</v>
      </c>
    </row>
    <row r="231" spans="3:3">
      <c r="C231" t="s">
        <v>675</v>
      </c>
    </row>
    <row r="232" spans="3:3">
      <c r="C232" t="s">
        <v>676</v>
      </c>
    </row>
    <row r="233" spans="3:3">
      <c r="C233" t="s">
        <v>677</v>
      </c>
    </row>
    <row r="234" spans="3:3">
      <c r="C234" t="s">
        <v>678</v>
      </c>
    </row>
    <row r="235" spans="3:3">
      <c r="C235" t="s">
        <v>679</v>
      </c>
    </row>
    <row r="236" spans="3:3">
      <c r="C236" t="s">
        <v>680</v>
      </c>
    </row>
    <row r="237" spans="3:3">
      <c r="C237" t="s">
        <v>681</v>
      </c>
    </row>
    <row r="238" spans="3:3">
      <c r="C238" t="s">
        <v>682</v>
      </c>
    </row>
    <row r="239" spans="3:3">
      <c r="C239" t="s">
        <v>683</v>
      </c>
    </row>
    <row r="240" spans="3:3">
      <c r="C240" t="s">
        <v>684</v>
      </c>
    </row>
    <row r="241" spans="3:3">
      <c r="C241" t="s">
        <v>685</v>
      </c>
    </row>
    <row r="242" spans="3:3">
      <c r="C242" t="s">
        <v>686</v>
      </c>
    </row>
    <row r="243" spans="3:3">
      <c r="C243" t="s">
        <v>687</v>
      </c>
    </row>
    <row r="244" spans="3:3">
      <c r="C244" t="s">
        <v>688</v>
      </c>
    </row>
    <row r="245" spans="3:3">
      <c r="C245" t="s">
        <v>689</v>
      </c>
    </row>
    <row r="246" spans="3:3">
      <c r="C246" t="s">
        <v>690</v>
      </c>
    </row>
    <row r="247" spans="3:3">
      <c r="C247" t="s">
        <v>691</v>
      </c>
    </row>
    <row r="248" spans="3:3">
      <c r="C248" t="s">
        <v>692</v>
      </c>
    </row>
    <row r="249" spans="3:3">
      <c r="C249" t="s">
        <v>693</v>
      </c>
    </row>
    <row r="250" spans="3:3">
      <c r="C250" t="s">
        <v>694</v>
      </c>
    </row>
    <row r="251" spans="3:3">
      <c r="C251" t="s">
        <v>695</v>
      </c>
    </row>
    <row r="252" spans="3:3">
      <c r="C252" t="s">
        <v>696</v>
      </c>
    </row>
    <row r="253" spans="3:3">
      <c r="C253" t="s">
        <v>697</v>
      </c>
    </row>
    <row r="254" spans="3:3">
      <c r="C254" t="s">
        <v>698</v>
      </c>
    </row>
    <row r="255" spans="3:3">
      <c r="C255" t="s">
        <v>699</v>
      </c>
    </row>
    <row r="256" spans="3:3">
      <c r="C256" t="s">
        <v>700</v>
      </c>
    </row>
    <row r="257" spans="3:3">
      <c r="C257" s="6" t="s">
        <v>701</v>
      </c>
    </row>
    <row r="258" spans="3:3">
      <c r="C258" t="s">
        <v>702</v>
      </c>
    </row>
    <row r="259" spans="3:3">
      <c r="C259" t="s">
        <v>703</v>
      </c>
    </row>
    <row r="260" spans="3:3">
      <c r="C260" t="s">
        <v>704</v>
      </c>
    </row>
    <row r="261" spans="3:3">
      <c r="C261" t="s">
        <v>705</v>
      </c>
    </row>
    <row r="262" spans="3:3">
      <c r="C262" t="s">
        <v>706</v>
      </c>
    </row>
    <row r="263" spans="3:3">
      <c r="C263" t="s">
        <v>707</v>
      </c>
    </row>
    <row r="264" spans="3:3">
      <c r="C264" t="s">
        <v>708</v>
      </c>
    </row>
    <row r="265" spans="3:3">
      <c r="C265" t="s">
        <v>709</v>
      </c>
    </row>
    <row r="266" spans="3:3">
      <c r="C266" t="s">
        <v>710</v>
      </c>
    </row>
    <row r="267" spans="3:3">
      <c r="C267" t="s">
        <v>711</v>
      </c>
    </row>
    <row r="268" spans="3:3">
      <c r="C268" t="s">
        <v>712</v>
      </c>
    </row>
    <row r="269" spans="3:3">
      <c r="C269" t="s">
        <v>713</v>
      </c>
    </row>
    <row r="270" spans="3:3">
      <c r="C270" t="s">
        <v>714</v>
      </c>
    </row>
  </sheetData>
  <mergeCells count="2">
    <mergeCell ref="I1:K1"/>
    <mergeCell ref="N13:N14"/>
  </mergeCells>
  <conditionalFormatting sqref="C4:C270">
    <cfRule type="duplicateValues" dxfId="2" priority="1"/>
  </conditionalFormatting>
  <pageMargins left="0.7" right="0.7" top="0.75" bottom="0.75" header="0.3" footer="0.3"/>
  <pageSetup paperSize="9"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176"/>
  <sheetViews>
    <sheetView tabSelected="1" topLeftCell="A144" zoomScale="115" zoomScaleNormal="115" zoomScalePageLayoutView="90" workbookViewId="0">
      <selection activeCell="H147" sqref="H147"/>
    </sheetView>
  </sheetViews>
  <sheetFormatPr defaultColWidth="0" defaultRowHeight="14.45"/>
  <cols>
    <col min="1" max="10" width="9.140625" style="93" customWidth="1"/>
    <col min="11" max="11" width="0.5703125" style="93" customWidth="1"/>
    <col min="12" max="13" width="9.140625" style="93" hidden="1" customWidth="1"/>
    <col min="14" max="16384" width="9.140625" style="93" hidden="1"/>
  </cols>
  <sheetData>
    <row r="1" spans="1:11">
      <c r="A1" s="44"/>
      <c r="B1" s="44"/>
      <c r="C1" s="44"/>
      <c r="D1" s="44"/>
      <c r="E1" s="44"/>
      <c r="F1" s="44"/>
      <c r="G1" s="44"/>
      <c r="H1" s="44"/>
      <c r="I1" s="44"/>
      <c r="J1" s="44"/>
      <c r="K1" s="44"/>
    </row>
    <row r="2" spans="1:11">
      <c r="A2" s="44"/>
      <c r="B2" s="44"/>
      <c r="C2" s="44"/>
      <c r="D2" s="44"/>
      <c r="E2" s="44"/>
      <c r="F2" s="44"/>
      <c r="G2" s="44"/>
      <c r="H2" s="44"/>
      <c r="I2" s="44"/>
      <c r="J2" s="44"/>
    </row>
    <row r="3" spans="1:11">
      <c r="A3" s="44"/>
      <c r="B3" s="44"/>
      <c r="C3" s="44"/>
      <c r="D3" s="44"/>
      <c r="E3" s="44"/>
      <c r="F3" s="44"/>
      <c r="G3" s="44"/>
      <c r="H3" s="44"/>
      <c r="I3" s="44"/>
      <c r="J3" s="44"/>
      <c r="K3" s="44"/>
    </row>
    <row r="4" spans="1:11">
      <c r="A4" s="44"/>
      <c r="B4" s="44"/>
      <c r="C4" s="44"/>
      <c r="D4" s="44"/>
      <c r="E4" s="44"/>
      <c r="F4" s="44"/>
      <c r="G4" s="44"/>
      <c r="H4" s="44"/>
      <c r="I4" s="44"/>
      <c r="J4" s="44"/>
      <c r="K4" s="44"/>
    </row>
    <row r="5" spans="1:11">
      <c r="A5" s="44"/>
      <c r="B5" s="44"/>
      <c r="C5" s="44"/>
      <c r="D5" s="44"/>
      <c r="E5" s="44"/>
      <c r="F5" s="44"/>
      <c r="G5" s="44"/>
      <c r="H5" s="44"/>
      <c r="I5" s="44"/>
      <c r="J5" s="44"/>
      <c r="K5" s="44"/>
    </row>
    <row r="6" spans="1:11" ht="15.6" customHeight="1">
      <c r="A6" s="44"/>
      <c r="B6" s="44"/>
      <c r="C6" s="1"/>
      <c r="D6" s="44"/>
      <c r="E6" s="44"/>
      <c r="F6" s="44"/>
      <c r="G6" s="44"/>
      <c r="H6" s="44"/>
      <c r="I6" s="44"/>
      <c r="J6" s="44"/>
      <c r="K6" s="44"/>
    </row>
    <row r="7" spans="1:11" ht="14.45" customHeight="1">
      <c r="A7" s="196" t="s">
        <v>715</v>
      </c>
      <c r="B7" s="196"/>
      <c r="C7" s="196"/>
      <c r="D7" s="196"/>
      <c r="E7" s="196"/>
      <c r="F7" s="196"/>
      <c r="G7" s="196"/>
      <c r="H7" s="196"/>
      <c r="I7" s="196"/>
      <c r="J7" s="196"/>
      <c r="K7" s="44"/>
    </row>
    <row r="8" spans="1:11">
      <c r="A8" s="162"/>
      <c r="B8" s="207"/>
      <c r="C8" s="207"/>
      <c r="D8" s="207"/>
      <c r="E8" s="207"/>
      <c r="F8" s="207"/>
      <c r="G8" s="207"/>
      <c r="H8" s="207"/>
      <c r="I8" s="207"/>
      <c r="J8" s="207"/>
      <c r="K8" s="44"/>
    </row>
    <row r="9" spans="1:11">
      <c r="A9" s="163" t="s">
        <v>716</v>
      </c>
      <c r="B9" s="207"/>
      <c r="C9" s="207"/>
      <c r="D9" s="207"/>
      <c r="E9" s="207"/>
      <c r="F9" s="207"/>
      <c r="G9" s="207"/>
      <c r="H9" s="207"/>
      <c r="I9" s="207"/>
      <c r="J9" s="207"/>
      <c r="K9" s="44"/>
    </row>
    <row r="10" spans="1:11">
      <c r="A10" s="165" t="s">
        <v>717</v>
      </c>
      <c r="B10" s="207"/>
      <c r="C10" s="207"/>
      <c r="D10" s="207"/>
      <c r="E10" s="207"/>
      <c r="F10" s="207"/>
      <c r="G10" s="207"/>
      <c r="H10" s="207"/>
      <c r="I10" s="207"/>
      <c r="J10" s="207"/>
      <c r="K10" s="44"/>
    </row>
    <row r="11" spans="1:11">
      <c r="A11" s="207"/>
      <c r="B11" s="207"/>
      <c r="C11" s="207"/>
      <c r="D11" s="207"/>
      <c r="E11" s="207"/>
      <c r="F11" s="207"/>
      <c r="G11" s="207"/>
      <c r="H11" s="207"/>
      <c r="I11" s="207"/>
      <c r="J11" s="207"/>
      <c r="K11" s="44"/>
    </row>
    <row r="12" spans="1:11">
      <c r="A12" s="207"/>
      <c r="B12" s="207"/>
      <c r="C12" s="207"/>
      <c r="D12" s="207"/>
      <c r="E12" s="207"/>
      <c r="F12" s="207"/>
      <c r="G12" s="207"/>
      <c r="H12" s="207"/>
      <c r="I12" s="207"/>
      <c r="J12" s="207"/>
      <c r="K12" s="44"/>
    </row>
    <row r="13" spans="1:11">
      <c r="A13" s="164" t="s">
        <v>718</v>
      </c>
      <c r="B13" s="207"/>
      <c r="C13" s="207"/>
      <c r="D13" s="207"/>
      <c r="E13" s="207"/>
      <c r="F13" s="207"/>
      <c r="G13" s="207"/>
      <c r="H13" s="207"/>
      <c r="I13" s="207"/>
      <c r="J13" s="207"/>
      <c r="K13" s="44"/>
    </row>
    <row r="14" spans="1:11">
      <c r="A14" s="207"/>
      <c r="B14" s="207"/>
      <c r="C14" s="207"/>
      <c r="D14" s="207"/>
      <c r="E14" s="207"/>
      <c r="F14" s="207"/>
      <c r="G14" s="207"/>
      <c r="H14" s="207"/>
      <c r="I14" s="207"/>
      <c r="J14" s="207"/>
      <c r="K14" s="44"/>
    </row>
    <row r="15" spans="1:11" ht="15">
      <c r="A15" s="204" t="s">
        <v>719</v>
      </c>
      <c r="B15" s="208"/>
      <c r="C15" s="208"/>
      <c r="D15" s="208"/>
      <c r="E15" s="208"/>
      <c r="F15" s="208"/>
      <c r="G15" s="208"/>
      <c r="H15" s="208"/>
      <c r="I15" s="208"/>
      <c r="J15" s="208"/>
      <c r="K15" s="44"/>
    </row>
    <row r="16" spans="1:11">
      <c r="A16" s="208"/>
      <c r="B16" s="208"/>
      <c r="C16" s="208"/>
      <c r="D16" s="208"/>
      <c r="E16" s="208"/>
      <c r="F16" s="208"/>
      <c r="G16" s="208"/>
      <c r="H16" s="208"/>
      <c r="I16" s="208"/>
      <c r="J16" s="208"/>
      <c r="K16" s="44"/>
    </row>
    <row r="17" spans="1:11">
      <c r="A17" s="208"/>
      <c r="B17" s="208"/>
      <c r="C17" s="208"/>
      <c r="D17" s="208"/>
      <c r="E17" s="208"/>
      <c r="F17" s="208"/>
      <c r="G17" s="208"/>
      <c r="H17" s="208"/>
      <c r="I17" s="208"/>
      <c r="J17" s="208"/>
      <c r="K17" s="44"/>
    </row>
    <row r="18" spans="1:11" ht="14.45" customHeight="1">
      <c r="A18" s="109" t="s">
        <v>720</v>
      </c>
      <c r="K18" s="44"/>
    </row>
    <row r="19" spans="1:11" ht="15" customHeight="1">
      <c r="A19" s="198">
        <v>1</v>
      </c>
      <c r="B19" s="166" t="s">
        <v>721</v>
      </c>
      <c r="C19" s="166"/>
      <c r="D19" s="166"/>
      <c r="E19" s="166"/>
      <c r="F19" s="166"/>
      <c r="G19" s="166"/>
      <c r="H19" s="166"/>
      <c r="I19" s="166"/>
      <c r="J19" s="166"/>
      <c r="K19" s="44"/>
    </row>
    <row r="20" spans="1:11">
      <c r="A20" s="198"/>
      <c r="B20" s="166"/>
      <c r="C20" s="166"/>
      <c r="D20" s="166"/>
      <c r="E20" s="166"/>
      <c r="F20" s="166"/>
      <c r="G20" s="166"/>
      <c r="H20" s="166"/>
      <c r="I20" s="166"/>
      <c r="J20" s="166"/>
      <c r="K20" s="124"/>
    </row>
    <row r="21" spans="1:11" ht="15" customHeight="1">
      <c r="A21" s="123">
        <v>2</v>
      </c>
      <c r="B21" s="200" t="s">
        <v>722</v>
      </c>
      <c r="C21" s="200"/>
      <c r="D21" s="200"/>
      <c r="E21" s="200"/>
      <c r="F21" s="200"/>
      <c r="G21" s="200"/>
      <c r="H21" s="200"/>
      <c r="I21" s="200"/>
      <c r="J21" s="200"/>
      <c r="K21" s="125"/>
    </row>
    <row r="22" spans="1:11" s="105" customFormat="1" ht="14.45" customHeight="1">
      <c r="A22" s="199">
        <v>3</v>
      </c>
      <c r="B22" s="200" t="s">
        <v>723</v>
      </c>
      <c r="C22" s="200"/>
      <c r="D22" s="200"/>
      <c r="E22" s="200"/>
      <c r="F22" s="200"/>
      <c r="G22" s="200"/>
      <c r="H22" s="200"/>
      <c r="I22" s="200"/>
      <c r="J22" s="200"/>
      <c r="K22" s="126"/>
    </row>
    <row r="23" spans="1:11">
      <c r="A23" s="199"/>
      <c r="B23" s="200"/>
      <c r="C23" s="200"/>
      <c r="D23" s="200"/>
      <c r="E23" s="200"/>
      <c r="F23" s="200"/>
      <c r="G23" s="200"/>
      <c r="H23" s="200"/>
      <c r="I23" s="200"/>
      <c r="J23" s="200"/>
      <c r="K23" s="44"/>
    </row>
    <row r="24" spans="1:11" ht="28.5" customHeight="1">
      <c r="A24" s="199">
        <v>4</v>
      </c>
      <c r="B24" s="197" t="s">
        <v>724</v>
      </c>
      <c r="C24" s="197"/>
      <c r="D24" s="197"/>
      <c r="E24" s="197"/>
      <c r="F24" s="197"/>
      <c r="G24" s="197"/>
      <c r="H24" s="197"/>
      <c r="I24" s="197"/>
      <c r="J24" s="197"/>
      <c r="K24" s="44"/>
    </row>
    <row r="25" spans="1:11" ht="14.45" customHeight="1">
      <c r="A25" s="199"/>
      <c r="B25" s="197"/>
      <c r="C25" s="197"/>
      <c r="D25" s="197"/>
      <c r="E25" s="197"/>
      <c r="F25" s="197"/>
      <c r="G25" s="197"/>
      <c r="H25" s="197"/>
      <c r="I25" s="197"/>
      <c r="J25" s="197"/>
      <c r="K25" s="44"/>
    </row>
    <row r="26" spans="1:11" ht="15" customHeight="1">
      <c r="A26" s="123">
        <v>5</v>
      </c>
      <c r="B26" s="201" t="s">
        <v>725</v>
      </c>
      <c r="C26" s="201"/>
      <c r="D26" s="201"/>
      <c r="E26" s="201"/>
      <c r="F26" s="201"/>
      <c r="G26" s="201"/>
      <c r="H26" s="201"/>
      <c r="I26" s="201"/>
      <c r="J26" s="201"/>
      <c r="K26" s="44"/>
    </row>
    <row r="27" spans="1:11" ht="14.45" customHeight="1">
      <c r="A27" s="199">
        <v>6</v>
      </c>
      <c r="B27" s="197" t="s">
        <v>726</v>
      </c>
      <c r="C27" s="197"/>
      <c r="D27" s="197"/>
      <c r="E27" s="197"/>
      <c r="F27" s="197"/>
      <c r="G27" s="197"/>
      <c r="H27" s="197"/>
      <c r="I27" s="197"/>
      <c r="J27" s="197"/>
      <c r="K27" s="44"/>
    </row>
    <row r="28" spans="1:11" ht="14.45" customHeight="1">
      <c r="A28" s="199"/>
      <c r="B28" s="197"/>
      <c r="C28" s="197"/>
      <c r="D28" s="197"/>
      <c r="E28" s="197"/>
      <c r="F28" s="197"/>
      <c r="G28" s="197"/>
      <c r="H28" s="197"/>
      <c r="I28" s="197"/>
      <c r="J28" s="197"/>
      <c r="K28" s="44"/>
    </row>
    <row r="29" spans="1:11" ht="15" customHeight="1">
      <c r="A29" s="199"/>
      <c r="B29" s="197"/>
      <c r="C29" s="197"/>
      <c r="D29" s="197"/>
      <c r="E29" s="197"/>
      <c r="F29" s="197"/>
      <c r="G29" s="197"/>
      <c r="H29" s="197"/>
      <c r="I29" s="197"/>
      <c r="J29" s="197"/>
      <c r="K29" s="44"/>
    </row>
    <row r="30" spans="1:11">
      <c r="A30" s="199">
        <v>7</v>
      </c>
      <c r="B30" s="197" t="s">
        <v>727</v>
      </c>
      <c r="C30" s="197"/>
      <c r="D30" s="197"/>
      <c r="E30" s="197"/>
      <c r="F30" s="197"/>
      <c r="G30" s="197"/>
      <c r="H30" s="197"/>
      <c r="I30" s="197"/>
      <c r="J30" s="197"/>
      <c r="K30" s="44"/>
    </row>
    <row r="31" spans="1:11">
      <c r="A31" s="199"/>
      <c r="B31" s="197"/>
      <c r="C31" s="197"/>
      <c r="D31" s="197"/>
      <c r="E31" s="197"/>
      <c r="F31" s="197"/>
      <c r="G31" s="197"/>
      <c r="H31" s="197"/>
      <c r="I31" s="197"/>
      <c r="J31" s="197"/>
      <c r="K31" s="44"/>
    </row>
    <row r="32" spans="1:11">
      <c r="A32" s="199"/>
      <c r="B32" s="197"/>
      <c r="C32" s="197"/>
      <c r="D32" s="197"/>
      <c r="E32" s="197"/>
      <c r="F32" s="197"/>
      <c r="G32" s="197"/>
      <c r="H32" s="197"/>
      <c r="I32" s="197"/>
      <c r="J32" s="197"/>
      <c r="K32" s="44"/>
    </row>
    <row r="33" spans="1:11" ht="15" customHeight="1">
      <c r="A33" s="199">
        <v>8</v>
      </c>
      <c r="B33" s="197" t="s">
        <v>728</v>
      </c>
      <c r="C33" s="197"/>
      <c r="D33" s="197"/>
      <c r="E33" s="197"/>
      <c r="F33" s="197"/>
      <c r="G33" s="197"/>
      <c r="H33" s="197"/>
      <c r="I33" s="197"/>
      <c r="J33" s="197"/>
      <c r="K33" s="44"/>
    </row>
    <row r="34" spans="1:11" ht="15" customHeight="1">
      <c r="A34" s="199"/>
      <c r="B34" s="197"/>
      <c r="C34" s="197"/>
      <c r="D34" s="197"/>
      <c r="E34" s="197"/>
      <c r="F34" s="197"/>
      <c r="G34" s="197"/>
      <c r="H34" s="197"/>
      <c r="I34" s="197"/>
      <c r="J34" s="197"/>
      <c r="K34" s="44"/>
    </row>
    <row r="35" spans="1:11" ht="15" customHeight="1">
      <c r="A35" s="123">
        <v>9</v>
      </c>
      <c r="B35" s="197" t="s">
        <v>729</v>
      </c>
      <c r="C35" s="197"/>
      <c r="D35" s="197"/>
      <c r="E35" s="197"/>
      <c r="F35" s="197"/>
      <c r="G35" s="197"/>
      <c r="H35" s="197"/>
      <c r="I35" s="197"/>
      <c r="J35" s="197"/>
      <c r="K35" s="44"/>
    </row>
    <row r="36" spans="1:11" ht="14.45" customHeight="1">
      <c r="A36" s="123">
        <v>10</v>
      </c>
      <c r="B36" s="197" t="s">
        <v>730</v>
      </c>
      <c r="C36" s="197"/>
      <c r="D36" s="197"/>
      <c r="E36" s="197"/>
      <c r="F36" s="197"/>
      <c r="G36" s="197"/>
      <c r="H36" s="197"/>
      <c r="I36" s="197"/>
      <c r="J36" s="197"/>
      <c r="K36" s="44"/>
    </row>
    <row r="37" spans="1:11">
      <c r="A37" s="84"/>
      <c r="B37" s="25"/>
      <c r="C37" s="25"/>
      <c r="D37" s="25"/>
      <c r="E37" s="25"/>
      <c r="G37" s="25"/>
      <c r="H37" s="25"/>
      <c r="I37" s="25"/>
      <c r="J37" s="25"/>
      <c r="K37" s="44"/>
    </row>
    <row r="38" spans="1:11">
      <c r="A38" s="163" t="s">
        <v>731</v>
      </c>
      <c r="B38" s="207"/>
      <c r="C38" s="207"/>
      <c r="D38" s="207"/>
      <c r="E38" s="207"/>
      <c r="F38" s="207"/>
      <c r="G38" s="207"/>
      <c r="H38" s="207"/>
      <c r="I38" s="207"/>
      <c r="J38" s="207"/>
      <c r="K38" s="44"/>
    </row>
    <row r="39" spans="1:11">
      <c r="A39" s="167" t="s">
        <v>732</v>
      </c>
      <c r="B39" s="164" t="s">
        <v>733</v>
      </c>
      <c r="C39" s="207"/>
      <c r="D39" s="207"/>
      <c r="E39" s="207"/>
      <c r="F39" s="207"/>
      <c r="G39" s="207"/>
      <c r="H39" s="207"/>
      <c r="I39" s="207"/>
      <c r="J39" s="207"/>
      <c r="K39" s="44"/>
    </row>
    <row r="40" spans="1:11">
      <c r="A40" s="209"/>
      <c r="B40" s="207"/>
      <c r="C40" s="207"/>
      <c r="D40" s="207"/>
      <c r="E40" s="207"/>
      <c r="F40" s="207"/>
      <c r="G40" s="207"/>
      <c r="H40" s="207"/>
      <c r="I40" s="207"/>
      <c r="J40" s="207"/>
      <c r="K40" s="44"/>
    </row>
    <row r="41" spans="1:11">
      <c r="A41" s="167" t="s">
        <v>734</v>
      </c>
      <c r="B41" s="164" t="s">
        <v>735</v>
      </c>
      <c r="C41" s="207"/>
      <c r="D41" s="207"/>
      <c r="E41" s="207"/>
      <c r="F41" s="207"/>
      <c r="G41" s="207"/>
      <c r="H41" s="207"/>
      <c r="I41" s="207"/>
      <c r="J41" s="207"/>
      <c r="K41" s="44"/>
    </row>
    <row r="42" spans="1:11">
      <c r="A42" s="209"/>
      <c r="B42" s="207"/>
      <c r="C42" s="207"/>
      <c r="D42" s="207"/>
      <c r="E42" s="207"/>
      <c r="F42" s="207"/>
      <c r="G42" s="207"/>
      <c r="H42" s="207"/>
      <c r="I42" s="207"/>
      <c r="J42" s="207"/>
      <c r="K42" s="44"/>
    </row>
    <row r="43" spans="1:11" ht="15" customHeight="1">
      <c r="A43" s="132" t="s">
        <v>736</v>
      </c>
      <c r="B43" s="133" t="s">
        <v>737</v>
      </c>
      <c r="C43" s="207"/>
      <c r="D43" s="207"/>
      <c r="E43" s="207"/>
      <c r="F43" s="207"/>
      <c r="G43" s="207"/>
      <c r="H43" s="207"/>
      <c r="I43" s="207"/>
      <c r="J43" s="207"/>
      <c r="K43" s="44"/>
    </row>
    <row r="44" spans="1:11">
      <c r="A44" s="207"/>
      <c r="B44" s="207"/>
      <c r="C44" s="207"/>
      <c r="D44" s="207"/>
      <c r="E44" s="207"/>
      <c r="F44" s="207"/>
      <c r="G44" s="207"/>
      <c r="H44" s="207"/>
      <c r="I44" s="207"/>
      <c r="J44" s="207"/>
      <c r="K44" s="44"/>
    </row>
    <row r="45" spans="1:11">
      <c r="A45" s="207"/>
      <c r="B45" s="207"/>
      <c r="C45" s="207"/>
      <c r="D45" s="207"/>
      <c r="E45" s="207"/>
      <c r="F45" s="207"/>
      <c r="G45" s="207"/>
      <c r="H45" s="207"/>
      <c r="I45" s="207"/>
      <c r="J45" s="207"/>
      <c r="K45" s="44"/>
    </row>
    <row r="46" spans="1:11">
      <c r="A46" s="162"/>
      <c r="B46" s="207"/>
      <c r="C46" s="207"/>
      <c r="D46" s="207"/>
      <c r="E46" s="207"/>
      <c r="F46" s="207"/>
      <c r="G46" s="207"/>
      <c r="H46" s="207"/>
      <c r="I46" s="207"/>
      <c r="J46" s="207"/>
      <c r="K46" s="44"/>
    </row>
    <row r="47" spans="1:11" ht="15.6" customHeight="1">
      <c r="B47" s="131" t="s">
        <v>738</v>
      </c>
      <c r="C47" s="207"/>
      <c r="D47" s="207"/>
      <c r="E47" s="207"/>
      <c r="F47" s="207"/>
      <c r="G47" s="207"/>
      <c r="H47" s="207"/>
      <c r="I47" s="207"/>
      <c r="J47" s="207"/>
      <c r="K47" s="69"/>
    </row>
    <row r="48" spans="1:11" ht="15.6" customHeight="1">
      <c r="A48" s="69"/>
      <c r="B48" s="207"/>
      <c r="C48" s="207"/>
      <c r="D48" s="207"/>
      <c r="E48" s="207"/>
      <c r="F48" s="207"/>
      <c r="G48" s="207"/>
      <c r="H48" s="207"/>
      <c r="I48" s="207"/>
      <c r="J48" s="207"/>
      <c r="K48" s="69"/>
    </row>
    <row r="49" spans="1:11" ht="15" customHeight="1">
      <c r="A49" s="135" t="s">
        <v>739</v>
      </c>
      <c r="B49" s="207"/>
      <c r="C49" s="207"/>
      <c r="D49" s="207"/>
      <c r="E49" s="207"/>
      <c r="F49" s="210" t="s">
        <v>740</v>
      </c>
      <c r="G49" s="207"/>
      <c r="H49" s="207"/>
      <c r="I49" s="130"/>
      <c r="J49" s="207"/>
      <c r="K49" s="207"/>
    </row>
    <row r="50" spans="1:11" ht="15.6" customHeight="1">
      <c r="A50" s="1"/>
      <c r="B50" s="2"/>
      <c r="C50" s="2"/>
      <c r="D50" s="2"/>
      <c r="E50" s="2"/>
      <c r="F50" s="2"/>
      <c r="G50" s="2"/>
      <c r="H50" s="3"/>
      <c r="I50" s="3"/>
      <c r="J50" s="3"/>
      <c r="K50" s="44"/>
    </row>
    <row r="51" spans="1:11">
      <c r="A51" s="161"/>
      <c r="B51" s="207"/>
      <c r="C51" s="207"/>
      <c r="D51" s="207"/>
      <c r="E51" s="207"/>
      <c r="F51" s="2"/>
      <c r="G51" s="2"/>
      <c r="H51" s="3"/>
      <c r="I51" s="3"/>
      <c r="J51" s="3"/>
      <c r="K51" s="44"/>
    </row>
    <row r="52" spans="1:11" ht="18.600000000000001" customHeight="1">
      <c r="A52" s="141" t="s">
        <v>741</v>
      </c>
      <c r="B52" s="207"/>
      <c r="C52" s="207"/>
      <c r="D52" s="207"/>
      <c r="E52" s="207"/>
      <c r="F52" s="207"/>
      <c r="G52" s="207"/>
      <c r="H52" s="59"/>
      <c r="I52" s="60"/>
      <c r="J52" s="60"/>
      <c r="K52" s="44"/>
    </row>
    <row r="53" spans="1:11">
      <c r="A53" s="139" t="s">
        <v>742</v>
      </c>
      <c r="B53" s="207"/>
      <c r="C53" s="207"/>
      <c r="D53" s="207"/>
      <c r="E53" s="207"/>
      <c r="F53" s="207"/>
      <c r="G53" s="207"/>
      <c r="H53" s="207"/>
      <c r="I53" s="207"/>
      <c r="J53" s="207"/>
      <c r="K53" s="44"/>
    </row>
    <row r="54" spans="1:11">
      <c r="A54" s="207"/>
      <c r="B54" s="207"/>
      <c r="C54" s="207"/>
      <c r="D54" s="207"/>
      <c r="E54" s="207"/>
      <c r="F54" s="207"/>
      <c r="G54" s="207"/>
      <c r="H54" s="207"/>
      <c r="I54" s="207"/>
      <c r="J54" s="207"/>
      <c r="K54" s="44"/>
    </row>
    <row r="55" spans="1:11" s="91" customFormat="1">
      <c r="A55" s="172" t="s">
        <v>743</v>
      </c>
      <c r="B55" s="173"/>
      <c r="C55" s="173"/>
      <c r="D55" s="173"/>
      <c r="E55" s="173"/>
      <c r="F55" s="173"/>
      <c r="G55" s="173"/>
      <c r="H55" s="173"/>
      <c r="I55" s="173"/>
      <c r="J55" s="173"/>
      <c r="K55" s="90"/>
    </row>
    <row r="56" spans="1:11">
      <c r="A56" s="143" t="s">
        <v>744</v>
      </c>
      <c r="B56" s="207"/>
      <c r="C56" s="207"/>
      <c r="D56" s="211"/>
      <c r="E56" s="171" t="s">
        <v>404</v>
      </c>
      <c r="F56" s="212"/>
      <c r="G56" s="48"/>
      <c r="H56" s="48"/>
      <c r="I56" s="48"/>
      <c r="J56" s="48"/>
      <c r="K56" s="44"/>
    </row>
    <row r="57" spans="1:11">
      <c r="A57" s="143" t="s">
        <v>745</v>
      </c>
      <c r="B57" s="207"/>
      <c r="C57" s="207"/>
      <c r="D57" s="211"/>
      <c r="E57" s="134"/>
      <c r="F57" s="213"/>
      <c r="G57" s="213"/>
      <c r="H57" s="213"/>
      <c r="I57" s="213"/>
      <c r="J57" s="214"/>
      <c r="K57" s="44"/>
    </row>
    <row r="58" spans="1:11">
      <c r="A58" s="143" t="s">
        <v>746</v>
      </c>
      <c r="B58" s="207"/>
      <c r="C58" s="207"/>
      <c r="D58" s="211"/>
      <c r="E58" s="134"/>
      <c r="F58" s="213"/>
      <c r="G58" s="213"/>
      <c r="H58" s="213"/>
      <c r="I58" s="213"/>
      <c r="J58" s="214"/>
      <c r="K58" s="44"/>
    </row>
    <row r="59" spans="1:11">
      <c r="A59" s="77" t="s">
        <v>747</v>
      </c>
      <c r="B59" s="78"/>
      <c r="C59" s="78"/>
      <c r="D59" s="79" t="s">
        <v>748</v>
      </c>
      <c r="E59" s="129"/>
      <c r="F59" s="214"/>
      <c r="G59" s="44"/>
      <c r="H59" s="44"/>
      <c r="I59" s="44"/>
      <c r="J59" s="74"/>
      <c r="K59" s="44"/>
    </row>
    <row r="60" spans="1:11">
      <c r="A60" s="128" t="s">
        <v>749</v>
      </c>
      <c r="B60" s="207"/>
      <c r="C60" s="207"/>
      <c r="D60" s="211"/>
      <c r="E60" s="142"/>
      <c r="F60" s="215"/>
      <c r="G60" s="215"/>
      <c r="H60" s="215"/>
      <c r="I60" s="215"/>
      <c r="J60" s="216"/>
      <c r="K60" s="44"/>
    </row>
    <row r="61" spans="1:11">
      <c r="A61" s="137" t="s">
        <v>750</v>
      </c>
      <c r="B61" s="207"/>
      <c r="C61" s="207"/>
      <c r="D61" s="211"/>
      <c r="E61" s="86"/>
      <c r="F61" s="87"/>
      <c r="G61" s="87"/>
      <c r="H61" s="87"/>
      <c r="I61" s="76"/>
      <c r="J61" s="88"/>
      <c r="K61" s="44"/>
    </row>
    <row r="62" spans="1:11">
      <c r="A62" s="136" t="s">
        <v>751</v>
      </c>
      <c r="B62" s="207"/>
      <c r="C62" s="207"/>
      <c r="D62" s="211"/>
      <c r="E62" s="86"/>
      <c r="F62" s="87"/>
      <c r="G62" s="87"/>
      <c r="H62" s="87"/>
      <c r="I62" s="76"/>
      <c r="J62" s="88"/>
      <c r="K62" s="44"/>
    </row>
    <row r="63" spans="1:11">
      <c r="A63" s="138" t="s">
        <v>752</v>
      </c>
      <c r="B63" s="207"/>
      <c r="C63" s="207"/>
      <c r="D63" s="211"/>
      <c r="E63" s="75"/>
      <c r="F63" s="44"/>
      <c r="G63" s="44"/>
      <c r="H63" s="44"/>
      <c r="I63" s="73"/>
      <c r="J63" s="74"/>
      <c r="K63" s="44"/>
    </row>
    <row r="64" spans="1:11">
      <c r="A64" s="139" t="s">
        <v>753</v>
      </c>
      <c r="B64" s="207"/>
      <c r="C64" s="207"/>
      <c r="D64" s="207"/>
      <c r="E64" s="134"/>
      <c r="F64" s="213"/>
      <c r="G64" s="213"/>
      <c r="H64" s="213"/>
      <c r="I64" s="213"/>
      <c r="J64" s="214"/>
      <c r="K64" s="44"/>
    </row>
    <row r="65" spans="1:14" s="81" customFormat="1">
      <c r="A65" s="139" t="s">
        <v>754</v>
      </c>
      <c r="B65" s="140"/>
      <c r="C65" s="140"/>
      <c r="D65" s="140"/>
      <c r="E65" s="134"/>
      <c r="F65" s="213"/>
      <c r="G65" s="213"/>
      <c r="H65" s="213"/>
      <c r="I65" s="213"/>
      <c r="J65" s="214"/>
      <c r="K65" s="33"/>
    </row>
    <row r="66" spans="1:14">
      <c r="A66" s="7" t="s">
        <v>755</v>
      </c>
      <c r="B66" s="44"/>
      <c r="C66" s="44"/>
      <c r="D66" s="44"/>
      <c r="E66" s="44"/>
      <c r="F66" s="44"/>
      <c r="G66" s="44"/>
      <c r="H66" s="44"/>
      <c r="I66" s="44"/>
      <c r="J66" s="44"/>
      <c r="K66" s="44"/>
    </row>
    <row r="67" spans="1:14">
      <c r="A67" s="44"/>
      <c r="B67" s="44"/>
      <c r="C67" s="44"/>
      <c r="D67" s="44"/>
      <c r="E67" s="44"/>
      <c r="F67" s="44"/>
      <c r="G67" s="44"/>
      <c r="H67" s="44"/>
      <c r="I67" s="44"/>
      <c r="J67" s="44"/>
      <c r="K67" s="44"/>
    </row>
    <row r="68" spans="1:14">
      <c r="A68" s="139" t="s">
        <v>756</v>
      </c>
      <c r="B68" s="207"/>
      <c r="C68" s="207"/>
      <c r="D68" s="134"/>
      <c r="E68" s="213"/>
      <c r="F68" s="213"/>
      <c r="G68" s="213"/>
      <c r="H68" s="213"/>
      <c r="I68" s="213"/>
      <c r="J68" s="214"/>
      <c r="K68" s="44"/>
    </row>
    <row r="69" spans="1:14">
      <c r="A69" s="44"/>
      <c r="B69" s="44"/>
      <c r="C69" s="44"/>
      <c r="D69" s="44"/>
      <c r="E69" s="44"/>
      <c r="F69" s="44"/>
      <c r="G69" s="44"/>
      <c r="H69" s="44"/>
      <c r="I69" s="44"/>
      <c r="J69" s="44"/>
      <c r="K69" s="44"/>
    </row>
    <row r="70" spans="1:14">
      <c r="A70" s="44"/>
      <c r="B70" s="44"/>
      <c r="C70" s="44"/>
      <c r="D70" s="44"/>
      <c r="E70" s="44"/>
      <c r="F70" s="44"/>
      <c r="G70" s="44"/>
      <c r="H70" s="44"/>
      <c r="I70" s="44"/>
      <c r="J70" s="44"/>
      <c r="K70" s="44"/>
    </row>
    <row r="71" spans="1:14">
      <c r="A71" s="147"/>
      <c r="B71" s="215"/>
      <c r="C71" s="215"/>
      <c r="D71" s="215"/>
      <c r="E71" s="215"/>
      <c r="F71" s="215"/>
      <c r="G71" s="216"/>
      <c r="H71" s="146"/>
      <c r="I71" s="215"/>
      <c r="J71" s="216"/>
      <c r="K71" s="44"/>
    </row>
    <row r="72" spans="1:14">
      <c r="A72" s="44"/>
      <c r="B72" s="159" t="str">
        <f>IFERROR(IF(COUNTIF(#REF!,"Child (over 18)")&gt;0,"Not normally possible for Children over 18 to apply as Dependant, discuss with SIT",""),"")</f>
        <v/>
      </c>
      <c r="C72" s="217"/>
      <c r="D72" s="217"/>
      <c r="E72" s="217"/>
      <c r="F72" s="217"/>
      <c r="G72" s="217"/>
      <c r="H72" s="217"/>
      <c r="I72" s="217"/>
      <c r="J72" s="44"/>
      <c r="K72" s="44"/>
      <c r="L72" s="20"/>
      <c r="M72" s="20"/>
      <c r="N72" s="20"/>
    </row>
    <row r="73" spans="1:14" ht="18.600000000000001" customHeight="1">
      <c r="A73" s="127" t="s">
        <v>757</v>
      </c>
      <c r="B73" s="207"/>
      <c r="C73" s="207"/>
      <c r="D73" s="207"/>
      <c r="E73" s="207"/>
      <c r="F73" s="207"/>
      <c r="G73" s="207"/>
      <c r="H73" s="207"/>
      <c r="I73" s="207"/>
      <c r="J73" s="207"/>
      <c r="K73" s="44"/>
      <c r="L73" s="20"/>
      <c r="M73" s="20"/>
      <c r="N73" s="20"/>
    </row>
    <row r="74" spans="1:14">
      <c r="A74" s="44"/>
      <c r="B74" s="44"/>
      <c r="C74" s="44"/>
      <c r="D74" s="44"/>
      <c r="E74" s="44"/>
      <c r="F74" s="44"/>
      <c r="G74" s="44"/>
      <c r="H74" s="44"/>
      <c r="I74" s="44"/>
      <c r="J74" s="44"/>
      <c r="K74" s="44"/>
    </row>
    <row r="75" spans="1:14" ht="18.600000000000001" customHeight="1">
      <c r="A75" s="26" t="s">
        <v>758</v>
      </c>
      <c r="B75" s="9"/>
      <c r="C75" s="9"/>
      <c r="D75" s="9"/>
      <c r="E75" s="9"/>
      <c r="F75" s="9"/>
      <c r="G75" s="169"/>
      <c r="H75" s="207"/>
      <c r="I75" s="158"/>
      <c r="J75" s="218"/>
      <c r="K75" s="44"/>
    </row>
    <row r="76" spans="1:14">
      <c r="A76" s="9"/>
      <c r="B76" s="9"/>
      <c r="C76" s="9"/>
      <c r="D76" s="9"/>
      <c r="E76" s="168" t="s">
        <v>759</v>
      </c>
      <c r="F76" s="206"/>
      <c r="G76" s="168" t="s">
        <v>760</v>
      </c>
      <c r="H76" s="206"/>
      <c r="I76" s="219"/>
      <c r="J76" s="211"/>
      <c r="K76" s="44"/>
    </row>
    <row r="77" spans="1:14" ht="15.6" customHeight="1">
      <c r="A77" s="170" t="s">
        <v>761</v>
      </c>
      <c r="B77" s="207"/>
      <c r="C77" s="207"/>
      <c r="D77" s="121" t="s">
        <v>762</v>
      </c>
      <c r="E77" s="144" t="s">
        <v>762</v>
      </c>
      <c r="F77" s="216"/>
      <c r="G77" s="145" t="e">
        <f>SUM(E77/D77)</f>
        <v>#VALUE!</v>
      </c>
      <c r="H77" s="215"/>
      <c r="I77" s="219"/>
      <c r="J77" s="211"/>
      <c r="K77" s="44"/>
    </row>
    <row r="78" spans="1:14" ht="18.600000000000001" customHeight="1">
      <c r="A78" s="9"/>
      <c r="B78" s="9"/>
      <c r="C78" s="9"/>
      <c r="D78" s="9" t="s">
        <v>763</v>
      </c>
      <c r="E78" s="149"/>
      <c r="F78" s="216"/>
      <c r="G78" s="182" t="e">
        <f>E78/D78</f>
        <v>#VALUE!</v>
      </c>
      <c r="H78" s="215"/>
      <c r="I78" s="219"/>
      <c r="J78" s="211"/>
      <c r="K78" s="44"/>
    </row>
    <row r="79" spans="1:14">
      <c r="A79" s="9"/>
      <c r="B79" s="9"/>
      <c r="C79" s="9"/>
      <c r="D79" s="9"/>
      <c r="E79" s="9"/>
      <c r="F79" s="9"/>
      <c r="G79" s="9"/>
      <c r="H79" s="9"/>
      <c r="I79" s="219"/>
      <c r="J79" s="211"/>
      <c r="K79" s="44"/>
    </row>
    <row r="80" spans="1:14">
      <c r="A80" s="9"/>
      <c r="B80" s="9"/>
      <c r="C80" s="9"/>
      <c r="D80" s="9"/>
      <c r="E80" s="9"/>
      <c r="F80" s="9"/>
      <c r="G80" s="9"/>
      <c r="H80" s="9"/>
      <c r="I80" s="220"/>
      <c r="J80" s="221"/>
      <c r="K80" s="44"/>
    </row>
    <row r="81" spans="1:11">
      <c r="A81" s="44"/>
      <c r="B81" s="44"/>
      <c r="C81" s="44"/>
      <c r="D81" s="44"/>
      <c r="E81" s="44"/>
      <c r="F81" s="44"/>
      <c r="G81" s="44"/>
      <c r="H81" s="44"/>
      <c r="I81" s="68"/>
      <c r="J81" s="68"/>
      <c r="K81" s="44"/>
    </row>
    <row r="82" spans="1:11">
      <c r="K82" s="44"/>
    </row>
    <row r="83" spans="1:11">
      <c r="A83" s="148" t="s">
        <v>764</v>
      </c>
      <c r="B83" s="207"/>
      <c r="C83" s="207"/>
      <c r="D83" s="207"/>
      <c r="E83" s="207"/>
      <c r="F83" s="207"/>
      <c r="G83" s="207"/>
      <c r="H83" s="207"/>
      <c r="I83" s="207"/>
      <c r="J83" s="207"/>
      <c r="K83" s="44"/>
    </row>
    <row r="84" spans="1:11" ht="15" customHeight="1" thickBot="1">
      <c r="A84" s="44"/>
      <c r="B84" s="44"/>
      <c r="C84" s="44"/>
      <c r="D84" s="44"/>
      <c r="E84" s="44"/>
      <c r="F84" s="44"/>
      <c r="G84" s="44"/>
      <c r="H84" s="44"/>
      <c r="I84" s="22"/>
      <c r="J84" s="22"/>
      <c r="K84" s="44"/>
    </row>
    <row r="85" spans="1:11" ht="21.6" customHeight="1" thickBot="1">
      <c r="A85" s="44"/>
      <c r="B85" s="44"/>
      <c r="C85" s="44"/>
      <c r="D85" s="44"/>
      <c r="E85" s="44"/>
      <c r="F85" s="44"/>
      <c r="G85" s="23" t="s">
        <v>765</v>
      </c>
      <c r="H85" s="174"/>
      <c r="I85" s="222"/>
      <c r="J85" s="22"/>
      <c r="K85" s="44"/>
    </row>
    <row r="86" spans="1:11" ht="21" customHeight="1">
      <c r="A86" s="44"/>
      <c r="B86" s="44"/>
      <c r="C86" s="44"/>
      <c r="D86" s="44"/>
      <c r="E86" s="44"/>
      <c r="F86" s="44"/>
      <c r="G86" s="23"/>
      <c r="H86" s="27"/>
      <c r="I86" s="30" t="str">
        <f>IFERROR(IF($H$85&gt;'Visa fees &amp; dropdowns'!$N$7,"Maximum loan allowed is £" &amp; 'Visa fees &amp; dropdowns'!$N$7,IF(OR($H$85&gt;#REF!,AND(#REF!="",$H$85&lt;&gt;"")),"Loan can only cover listed fees","")),"")</f>
        <v/>
      </c>
      <c r="J86" s="22"/>
      <c r="K86" s="44"/>
    </row>
    <row r="87" spans="1:11" ht="18.600000000000001" customHeight="1">
      <c r="A87" s="141" t="s">
        <v>766</v>
      </c>
      <c r="B87" s="207"/>
      <c r="C87" s="207"/>
      <c r="D87" s="207"/>
      <c r="E87" s="207"/>
      <c r="F87" s="207"/>
      <c r="G87" s="207"/>
      <c r="H87" s="207"/>
      <c r="I87" s="207"/>
      <c r="J87" s="207"/>
      <c r="K87" s="44"/>
    </row>
    <row r="88" spans="1:11">
      <c r="A88" s="127" t="s">
        <v>767</v>
      </c>
      <c r="B88" s="207"/>
      <c r="C88" s="207"/>
      <c r="D88" s="207"/>
      <c r="E88" s="181" t="str">
        <f>IF(ISNUMBER($I$90),IF(AND($I$90&lt;&gt;"",OR(LEN($I$90)&lt;&gt;7,ISNUMBER(I90)=FALSE)),"Personnel/ Payroll Number should be 7 numbers '1234567'",""),"")</f>
        <v/>
      </c>
      <c r="F88" s="207"/>
      <c r="G88" s="207"/>
      <c r="H88" s="207"/>
      <c r="I88" s="207"/>
      <c r="J88" s="207"/>
      <c r="K88" s="44"/>
    </row>
    <row r="89" spans="1:11">
      <c r="A89" s="44"/>
      <c r="B89" s="44"/>
      <c r="C89" s="44"/>
      <c r="D89" s="44"/>
      <c r="E89" s="7"/>
      <c r="F89" s="44"/>
      <c r="G89" s="44"/>
      <c r="H89" s="44"/>
      <c r="I89" s="44"/>
      <c r="J89" s="44"/>
      <c r="K89" s="44"/>
    </row>
    <row r="90" spans="1:11">
      <c r="A90" s="143" t="s">
        <v>768</v>
      </c>
      <c r="B90" s="207"/>
      <c r="C90" s="207"/>
      <c r="D90" s="207"/>
      <c r="E90" s="207"/>
      <c r="F90" s="207"/>
      <c r="G90" s="207"/>
      <c r="H90" s="211"/>
      <c r="I90" s="184"/>
      <c r="J90" s="214"/>
      <c r="K90" s="44"/>
    </row>
    <row r="91" spans="1:11">
      <c r="A91" s="28" t="s">
        <v>769</v>
      </c>
      <c r="B91" s="44"/>
      <c r="E91" s="44"/>
      <c r="F91" s="44"/>
      <c r="G91" s="44"/>
      <c r="H91" s="44"/>
      <c r="K91" s="44"/>
    </row>
    <row r="92" spans="1:11">
      <c r="B92" s="37"/>
      <c r="C92" s="37"/>
      <c r="D92" s="37"/>
      <c r="E92" s="37"/>
      <c r="F92" s="37"/>
      <c r="G92" s="37"/>
      <c r="H92" s="37"/>
      <c r="I92" s="37"/>
      <c r="J92" s="37"/>
      <c r="K92" s="37"/>
    </row>
    <row r="93" spans="1:11">
      <c r="A93" s="28" t="s">
        <v>770</v>
      </c>
      <c r="B93" s="37"/>
      <c r="C93" s="37"/>
      <c r="D93" s="37"/>
      <c r="E93" s="37"/>
      <c r="F93" s="37"/>
      <c r="G93" s="37"/>
      <c r="H93" s="28"/>
      <c r="I93" s="37"/>
      <c r="J93" s="37"/>
      <c r="K93" s="37"/>
    </row>
    <row r="94" spans="1:11">
      <c r="A94" s="28"/>
      <c r="B94" s="37"/>
      <c r="C94" s="37"/>
      <c r="D94" s="37"/>
      <c r="E94" s="37"/>
      <c r="F94" s="37"/>
      <c r="G94" s="37"/>
      <c r="H94" s="37"/>
      <c r="I94" s="37"/>
      <c r="J94" s="37"/>
      <c r="K94" s="37"/>
    </row>
    <row r="95" spans="1:11" ht="15.6" customHeight="1">
      <c r="A95" s="28"/>
      <c r="D95" s="54" t="s">
        <v>771</v>
      </c>
      <c r="F95" s="56"/>
      <c r="G95" s="55" t="s">
        <v>772</v>
      </c>
      <c r="H95" s="56"/>
      <c r="I95" s="56"/>
      <c r="J95" s="56"/>
      <c r="K95" s="56"/>
    </row>
    <row r="96" spans="1:11">
      <c r="A96" s="37"/>
      <c r="B96" s="37"/>
      <c r="C96" s="37"/>
      <c r="D96" s="37"/>
      <c r="E96" s="37"/>
      <c r="F96" s="37"/>
      <c r="G96" s="37"/>
      <c r="H96" s="37"/>
      <c r="I96" s="37"/>
      <c r="J96" s="37"/>
      <c r="K96" s="37"/>
    </row>
    <row r="97" spans="1:11">
      <c r="A97" s="44"/>
      <c r="B97" s="44"/>
      <c r="C97" s="82" t="s">
        <v>773</v>
      </c>
      <c r="D97" s="183"/>
      <c r="E97" s="213"/>
      <c r="F97" s="213"/>
      <c r="G97" s="213"/>
      <c r="H97" s="213"/>
      <c r="I97" s="213"/>
      <c r="J97" s="214"/>
      <c r="K97" s="44"/>
    </row>
    <row r="98" spans="1:11">
      <c r="A98" s="33" t="s">
        <v>774</v>
      </c>
      <c r="B98" s="44"/>
      <c r="C98" s="53" t="s">
        <v>775</v>
      </c>
      <c r="D98" s="178"/>
      <c r="E98" s="223"/>
      <c r="F98" s="223"/>
      <c r="G98" s="223"/>
      <c r="H98" s="223"/>
      <c r="I98" s="223"/>
      <c r="J98" s="224"/>
      <c r="K98" s="44"/>
    </row>
    <row r="99" spans="1:11">
      <c r="A99" s="44"/>
      <c r="B99" s="44"/>
      <c r="C99" s="53" t="s">
        <v>749</v>
      </c>
      <c r="D99" s="179"/>
      <c r="E99" s="225"/>
      <c r="F99" s="225"/>
      <c r="G99" s="225"/>
      <c r="H99" s="225"/>
      <c r="I99" s="225"/>
      <c r="J99" s="226"/>
      <c r="K99" s="44"/>
    </row>
    <row r="100" spans="1:11">
      <c r="A100" s="44"/>
      <c r="B100" s="44"/>
      <c r="C100" s="53" t="s">
        <v>776</v>
      </c>
      <c r="D100" s="179"/>
      <c r="E100" s="225"/>
      <c r="F100" s="225"/>
      <c r="G100" s="225"/>
      <c r="H100" s="225"/>
      <c r="I100" s="225"/>
      <c r="J100" s="226"/>
      <c r="K100" s="44"/>
    </row>
    <row r="101" spans="1:11">
      <c r="A101" s="44"/>
      <c r="B101" s="44"/>
      <c r="C101" s="53" t="s">
        <v>777</v>
      </c>
      <c r="D101" s="179"/>
      <c r="E101" s="225"/>
      <c r="F101" s="225"/>
      <c r="G101" s="225"/>
      <c r="H101" s="225"/>
      <c r="I101" s="225"/>
      <c r="J101" s="226"/>
      <c r="K101" s="44"/>
    </row>
    <row r="102" spans="1:11">
      <c r="A102" s="44"/>
      <c r="B102" s="44"/>
      <c r="C102" s="53" t="s">
        <v>778</v>
      </c>
      <c r="D102" s="180"/>
      <c r="E102" s="227"/>
      <c r="F102" s="227"/>
      <c r="G102" s="227"/>
      <c r="H102" s="227"/>
      <c r="I102" s="227"/>
      <c r="J102" s="228"/>
      <c r="K102" s="44"/>
    </row>
    <row r="103" spans="1:11">
      <c r="A103" s="44"/>
      <c r="B103" s="44"/>
      <c r="C103" s="82" t="s">
        <v>779</v>
      </c>
      <c r="D103" s="155"/>
      <c r="E103" s="213"/>
      <c r="F103" s="213"/>
      <c r="G103" s="213"/>
      <c r="H103" s="213"/>
      <c r="I103" s="213"/>
      <c r="J103" s="214"/>
      <c r="K103" s="44"/>
    </row>
    <row r="104" spans="1:11">
      <c r="A104" s="44"/>
      <c r="B104" s="44"/>
      <c r="C104" s="82" t="s">
        <v>780</v>
      </c>
      <c r="D104" s="155"/>
      <c r="E104" s="213"/>
      <c r="F104" s="213"/>
      <c r="G104" s="213"/>
      <c r="H104" s="213"/>
      <c r="I104" s="213"/>
      <c r="J104" s="214"/>
      <c r="K104" s="44"/>
    </row>
    <row r="105" spans="1:11">
      <c r="A105" s="44"/>
      <c r="B105" s="44"/>
      <c r="C105" s="82" t="s">
        <v>781</v>
      </c>
      <c r="D105" s="155"/>
      <c r="E105" s="213"/>
      <c r="F105" s="213"/>
      <c r="G105" s="213"/>
      <c r="H105" s="213"/>
      <c r="I105" s="213"/>
      <c r="J105" s="214"/>
      <c r="K105" s="44"/>
    </row>
    <row r="106" spans="1:11">
      <c r="A106" s="44"/>
      <c r="B106" s="44"/>
      <c r="C106" s="82" t="s">
        <v>782</v>
      </c>
      <c r="D106" s="155"/>
      <c r="E106" s="213"/>
      <c r="F106" s="213"/>
      <c r="G106" s="213"/>
      <c r="H106" s="213"/>
      <c r="I106" s="213"/>
      <c r="J106" s="214"/>
      <c r="K106" s="44"/>
    </row>
    <row r="107" spans="1:11">
      <c r="A107" s="44"/>
      <c r="B107" s="44"/>
      <c r="C107" s="82"/>
      <c r="D107" s="57"/>
      <c r="E107" s="57"/>
      <c r="F107" s="57"/>
      <c r="G107" s="57"/>
      <c r="H107" s="57"/>
      <c r="I107" s="57"/>
      <c r="J107" s="57"/>
      <c r="K107" s="44"/>
    </row>
    <row r="108" spans="1:11">
      <c r="A108" s="175" t="s">
        <v>783</v>
      </c>
      <c r="B108" s="207"/>
      <c r="C108" s="207"/>
      <c r="D108" s="207"/>
      <c r="E108" s="207"/>
      <c r="F108" s="207"/>
      <c r="G108" s="207"/>
      <c r="H108" s="207"/>
      <c r="I108" s="207"/>
      <c r="J108" s="207"/>
      <c r="K108" s="207"/>
    </row>
    <row r="109" spans="1:11">
      <c r="A109" s="207"/>
      <c r="B109" s="207"/>
      <c r="C109" s="207"/>
      <c r="D109" s="207"/>
      <c r="E109" s="207"/>
      <c r="F109" s="207"/>
      <c r="G109" s="207"/>
      <c r="H109" s="207"/>
      <c r="I109" s="207"/>
      <c r="J109" s="207"/>
      <c r="K109" s="207"/>
    </row>
    <row r="110" spans="1:11">
      <c r="A110" s="67"/>
      <c r="B110" s="67"/>
      <c r="C110" s="67"/>
      <c r="D110" s="67"/>
      <c r="E110" s="67"/>
      <c r="F110" s="67"/>
      <c r="G110" s="67"/>
      <c r="H110" s="67"/>
      <c r="I110" s="67"/>
      <c r="J110" s="67"/>
      <c r="K110" s="67"/>
    </row>
    <row r="111" spans="1:11" ht="18.600000000000001" customHeight="1">
      <c r="A111" s="127" t="s">
        <v>784</v>
      </c>
      <c r="B111" s="207"/>
      <c r="C111" s="207"/>
      <c r="D111" s="207"/>
      <c r="E111" s="207"/>
      <c r="F111" s="207"/>
      <c r="G111" s="207"/>
      <c r="H111" s="207"/>
      <c r="I111" s="207"/>
      <c r="J111" s="207"/>
      <c r="K111" s="44"/>
    </row>
    <row r="112" spans="1:11" ht="15" thickBot="1">
      <c r="B112" s="44"/>
      <c r="C112" s="44"/>
      <c r="D112" s="44"/>
      <c r="E112" s="44"/>
      <c r="F112" s="44"/>
      <c r="G112" s="44"/>
      <c r="H112" s="44"/>
      <c r="I112" s="94"/>
      <c r="J112" s="94"/>
      <c r="K112" s="44"/>
    </row>
    <row r="113" spans="1:11" ht="15" thickBot="1">
      <c r="A113" s="44" t="s">
        <v>785</v>
      </c>
      <c r="B113" s="44"/>
      <c r="C113" s="44"/>
      <c r="D113" s="44"/>
      <c r="E113" s="44"/>
      <c r="F113" s="44"/>
      <c r="G113" s="44"/>
      <c r="H113" s="44"/>
      <c r="I113" s="151"/>
      <c r="J113" s="222"/>
      <c r="K113" s="44"/>
    </row>
    <row r="114" spans="1:11">
      <c r="A114" s="44"/>
      <c r="B114" s="44"/>
      <c r="C114" s="44"/>
      <c r="D114" s="44"/>
      <c r="E114" s="44"/>
      <c r="F114" s="44"/>
      <c r="G114" s="44"/>
      <c r="H114" s="44"/>
      <c r="I114" s="44"/>
      <c r="J114" s="44"/>
      <c r="K114" s="44"/>
    </row>
    <row r="115" spans="1:11">
      <c r="A115" s="139" t="s">
        <v>786</v>
      </c>
      <c r="B115" s="207"/>
      <c r="C115" s="207"/>
      <c r="D115" s="207"/>
      <c r="E115" s="207"/>
      <c r="F115" s="207"/>
      <c r="G115" s="207"/>
      <c r="H115" s="207"/>
      <c r="I115" s="207"/>
      <c r="J115" s="207"/>
      <c r="K115" s="44"/>
    </row>
    <row r="116" spans="1:11">
      <c r="A116" s="207"/>
      <c r="B116" s="207"/>
      <c r="C116" s="207"/>
      <c r="D116" s="207"/>
      <c r="E116" s="207"/>
      <c r="F116" s="207"/>
      <c r="G116" s="207"/>
      <c r="H116" s="207"/>
      <c r="I116" s="207"/>
      <c r="J116" s="207"/>
      <c r="K116" s="44"/>
    </row>
    <row r="117" spans="1:11">
      <c r="A117" s="207"/>
      <c r="B117" s="207"/>
      <c r="C117" s="207"/>
      <c r="D117" s="207"/>
      <c r="E117" s="207"/>
      <c r="F117" s="207"/>
      <c r="G117" s="207"/>
      <c r="H117" s="207"/>
      <c r="I117" s="207"/>
      <c r="J117" s="207"/>
      <c r="K117" s="44"/>
    </row>
    <row r="118" spans="1:11" ht="15" thickBot="1">
      <c r="A118" s="83"/>
      <c r="B118" s="83"/>
      <c r="C118" s="83"/>
      <c r="D118" s="83"/>
      <c r="E118" s="83"/>
      <c r="F118" s="83"/>
      <c r="G118" s="83"/>
      <c r="H118" s="83"/>
      <c r="I118" s="83"/>
      <c r="J118" s="83"/>
      <c r="K118" s="44"/>
    </row>
    <row r="119" spans="1:11" ht="15" thickBot="1">
      <c r="A119" s="139" t="s">
        <v>787</v>
      </c>
      <c r="B119" s="207"/>
      <c r="C119" s="207"/>
      <c r="D119" s="207"/>
      <c r="E119" s="207"/>
      <c r="F119" s="207"/>
      <c r="G119" s="207"/>
      <c r="H119" s="207"/>
      <c r="I119" s="152"/>
      <c r="J119" s="222"/>
      <c r="K119" s="44"/>
    </row>
    <row r="120" spans="1:11">
      <c r="A120" s="207"/>
      <c r="B120" s="207"/>
      <c r="C120" s="207"/>
      <c r="D120" s="207"/>
      <c r="E120" s="207"/>
      <c r="F120" s="207"/>
      <c r="G120" s="207"/>
      <c r="H120" s="207"/>
      <c r="I120" s="25"/>
      <c r="J120" s="25"/>
      <c r="K120" s="44"/>
    </row>
    <row r="121" spans="1:11">
      <c r="A121" s="83"/>
      <c r="B121" s="83"/>
      <c r="C121" s="83"/>
      <c r="D121" s="83"/>
      <c r="E121" s="83"/>
      <c r="F121" s="83"/>
      <c r="G121" s="83"/>
      <c r="H121" s="83"/>
      <c r="I121" s="25"/>
      <c r="J121" s="25"/>
      <c r="K121" s="44"/>
    </row>
    <row r="122" spans="1:11" ht="15.6" customHeight="1">
      <c r="A122" s="44"/>
      <c r="B122" s="139" t="s">
        <v>788</v>
      </c>
      <c r="C122" s="139"/>
      <c r="D122" s="139"/>
      <c r="E122" s="139"/>
      <c r="F122" s="139"/>
      <c r="G122" s="139"/>
      <c r="H122" s="139"/>
      <c r="I122" s="139"/>
      <c r="J122" s="139"/>
      <c r="K122" s="34"/>
    </row>
    <row r="123" spans="1:11" ht="15.6" customHeight="1">
      <c r="A123" s="176"/>
      <c r="B123" s="139"/>
      <c r="C123" s="139"/>
      <c r="D123" s="139"/>
      <c r="E123" s="139"/>
      <c r="F123" s="139"/>
      <c r="G123" s="139"/>
      <c r="H123" s="139"/>
      <c r="I123" s="139"/>
      <c r="J123" s="139"/>
      <c r="K123" s="34"/>
    </row>
    <row r="124" spans="1:11" ht="15.6" customHeight="1">
      <c r="A124" s="207"/>
      <c r="B124" s="139"/>
      <c r="C124" s="139"/>
      <c r="D124" s="139"/>
      <c r="E124" s="139"/>
      <c r="F124" s="139"/>
      <c r="G124" s="139"/>
      <c r="H124" s="139"/>
      <c r="I124" s="139"/>
      <c r="J124" s="139"/>
      <c r="K124" s="34"/>
    </row>
    <row r="125" spans="1:11" ht="15.6" customHeight="1">
      <c r="A125" s="83"/>
      <c r="B125" s="139"/>
      <c r="C125" s="139"/>
      <c r="D125" s="139"/>
      <c r="E125" s="139"/>
      <c r="F125" s="139"/>
      <c r="G125" s="139"/>
      <c r="H125" s="139"/>
      <c r="I125" s="139"/>
      <c r="J125" s="139"/>
      <c r="K125" s="34"/>
    </row>
    <row r="126" spans="1:11" ht="15.6" customHeight="1" thickBot="1">
      <c r="A126" s="83"/>
      <c r="B126" s="139"/>
      <c r="C126" s="139"/>
      <c r="D126" s="139"/>
      <c r="E126" s="139"/>
      <c r="F126" s="139"/>
      <c r="G126" s="139"/>
      <c r="H126" s="139"/>
      <c r="I126" s="139"/>
      <c r="J126" s="139"/>
      <c r="K126" s="34"/>
    </row>
    <row r="127" spans="1:11" ht="15.6" customHeight="1" thickBot="1">
      <c r="A127" s="83"/>
      <c r="B127" s="35"/>
      <c r="C127" s="35"/>
      <c r="D127" s="35"/>
      <c r="E127" s="35"/>
      <c r="F127" s="35"/>
      <c r="G127" s="35"/>
      <c r="H127" s="35"/>
      <c r="I127" s="35"/>
      <c r="J127" s="107"/>
      <c r="K127" s="34"/>
    </row>
    <row r="128" spans="1:11" ht="15.6" customHeight="1">
      <c r="A128" s="186" t="s">
        <v>789</v>
      </c>
      <c r="B128" s="186"/>
      <c r="C128" s="186"/>
      <c r="D128" s="186"/>
      <c r="E128" s="186"/>
      <c r="F128" s="186"/>
      <c r="G128" s="186"/>
      <c r="H128" s="186"/>
      <c r="I128" s="186"/>
      <c r="J128" s="186"/>
      <c r="K128" s="37"/>
    </row>
    <row r="129" spans="1:11" ht="15.6" customHeight="1">
      <c r="A129" s="186"/>
      <c r="B129" s="186"/>
      <c r="C129" s="186"/>
      <c r="D129" s="186"/>
      <c r="E129" s="186"/>
      <c r="F129" s="186"/>
      <c r="G129" s="186"/>
      <c r="H129" s="186"/>
      <c r="I129" s="186"/>
      <c r="J129" s="186"/>
      <c r="K129" s="37"/>
    </row>
    <row r="130" spans="1:11" ht="15.6" customHeight="1">
      <c r="A130" s="186"/>
      <c r="B130" s="186"/>
      <c r="C130" s="186"/>
      <c r="D130" s="186"/>
      <c r="E130" s="186"/>
      <c r="F130" s="186"/>
      <c r="G130" s="186"/>
      <c r="H130" s="186"/>
      <c r="I130" s="186"/>
      <c r="J130" s="186"/>
      <c r="K130" s="37"/>
    </row>
    <row r="131" spans="1:11" ht="15.6" customHeight="1">
      <c r="A131" s="186"/>
      <c r="B131" s="186"/>
      <c r="C131" s="186"/>
      <c r="D131" s="186"/>
      <c r="E131" s="186"/>
      <c r="F131" s="186"/>
      <c r="G131" s="186"/>
      <c r="H131" s="186"/>
      <c r="I131" s="186"/>
      <c r="J131" s="186"/>
      <c r="K131" s="37"/>
    </row>
    <row r="132" spans="1:11" ht="15.6" customHeight="1">
      <c r="A132" s="186"/>
      <c r="B132" s="186"/>
      <c r="C132" s="186"/>
      <c r="D132" s="186"/>
      <c r="E132" s="186"/>
      <c r="F132" s="186"/>
      <c r="G132" s="186"/>
      <c r="H132" s="186"/>
      <c r="I132" s="186"/>
      <c r="J132" s="186"/>
      <c r="K132" s="37"/>
    </row>
    <row r="133" spans="1:11" ht="15.6" customHeight="1">
      <c r="A133" s="186"/>
      <c r="B133" s="186"/>
      <c r="C133" s="186"/>
      <c r="D133" s="186"/>
      <c r="E133" s="186"/>
      <c r="F133" s="186"/>
      <c r="G133" s="186"/>
      <c r="H133" s="186"/>
      <c r="I133" s="186"/>
      <c r="J133" s="186"/>
      <c r="K133" s="37"/>
    </row>
    <row r="134" spans="1:11" ht="28.5" customHeight="1" thickBot="1">
      <c r="A134" s="186"/>
      <c r="B134" s="186"/>
      <c r="C134" s="186"/>
      <c r="D134" s="186"/>
      <c r="E134" s="186"/>
      <c r="F134" s="186"/>
      <c r="G134" s="186"/>
      <c r="H134" s="186"/>
      <c r="I134" s="186"/>
      <c r="J134" s="186"/>
      <c r="K134" s="37"/>
    </row>
    <row r="135" spans="1:11" ht="15.6" customHeight="1" thickBot="1">
      <c r="A135" s="83"/>
      <c r="B135" s="106"/>
      <c r="C135" s="104"/>
      <c r="D135" s="104"/>
      <c r="E135" s="104"/>
      <c r="F135" s="104"/>
      <c r="G135" s="104"/>
      <c r="H135" s="104"/>
      <c r="I135" s="104"/>
      <c r="J135" s="108"/>
      <c r="K135" s="34"/>
    </row>
    <row r="136" spans="1:11">
      <c r="A136" s="177" t="s">
        <v>790</v>
      </c>
      <c r="B136" s="207"/>
      <c r="C136" s="207"/>
      <c r="D136" s="207"/>
      <c r="E136" s="207"/>
      <c r="F136" s="207"/>
      <c r="G136" s="207"/>
      <c r="H136" s="207"/>
      <c r="I136" s="207"/>
      <c r="J136" s="207"/>
      <c r="K136" s="44"/>
    </row>
    <row r="137" spans="1:11" ht="39.75" customHeight="1">
      <c r="A137" s="207"/>
      <c r="B137" s="207"/>
      <c r="C137" s="207"/>
      <c r="D137" s="207"/>
      <c r="E137" s="207"/>
      <c r="F137" s="207"/>
      <c r="G137" s="207"/>
      <c r="H137" s="207"/>
      <c r="I137" s="207"/>
      <c r="J137" s="207"/>
      <c r="K137" s="44"/>
    </row>
    <row r="138" spans="1:11">
      <c r="A138" s="83"/>
      <c r="B138" s="83"/>
      <c r="C138" s="83"/>
      <c r="D138" s="83"/>
      <c r="E138" s="83"/>
      <c r="F138" s="83"/>
      <c r="G138" s="83"/>
      <c r="H138" s="83"/>
      <c r="I138" s="83"/>
      <c r="J138" s="83"/>
      <c r="K138" s="44"/>
    </row>
    <row r="139" spans="1:11" ht="15">
      <c r="A139" s="157" t="s">
        <v>791</v>
      </c>
      <c r="B139" s="207"/>
      <c r="C139" s="207"/>
      <c r="D139" s="207"/>
      <c r="E139" s="211"/>
      <c r="F139" s="155"/>
      <c r="G139" s="229"/>
      <c r="H139" s="229"/>
      <c r="I139" s="229"/>
      <c r="J139" s="212"/>
      <c r="K139" s="44"/>
    </row>
    <row r="140" spans="1:11">
      <c r="A140" s="207"/>
      <c r="B140" s="207"/>
      <c r="C140" s="207"/>
      <c r="D140" s="207"/>
      <c r="E140" s="211"/>
      <c r="F140" s="230"/>
      <c r="G140" s="209"/>
      <c r="H140" s="209"/>
      <c r="I140" s="209"/>
      <c r="J140" s="231"/>
      <c r="K140" s="44"/>
    </row>
    <row r="141" spans="1:11">
      <c r="A141" s="207"/>
      <c r="B141" s="207"/>
      <c r="C141" s="207"/>
      <c r="D141" s="207"/>
      <c r="E141" s="211"/>
      <c r="F141" s="232"/>
      <c r="G141" s="233"/>
      <c r="H141" s="233"/>
      <c r="I141" s="233"/>
      <c r="J141" s="234"/>
      <c r="K141" s="44"/>
    </row>
    <row r="142" spans="1:11">
      <c r="A142" s="44"/>
      <c r="B142" s="44"/>
      <c r="D142" s="35"/>
      <c r="E142" s="82" t="s">
        <v>792</v>
      </c>
      <c r="F142" s="155"/>
      <c r="G142" s="213"/>
      <c r="H142" s="213"/>
      <c r="I142" s="213"/>
      <c r="J142" s="214"/>
      <c r="K142" s="44"/>
    </row>
    <row r="143" spans="1:11">
      <c r="A143" s="44"/>
      <c r="B143" s="44"/>
      <c r="D143" s="95"/>
      <c r="E143" s="82" t="s">
        <v>793</v>
      </c>
      <c r="F143" s="156"/>
      <c r="G143" s="213"/>
      <c r="H143" s="213"/>
      <c r="I143" s="213"/>
      <c r="J143" s="214"/>
      <c r="K143" s="44"/>
    </row>
    <row r="144" spans="1:11" ht="15">
      <c r="A144" s="160" t="s">
        <v>794</v>
      </c>
      <c r="B144" s="207"/>
      <c r="C144" s="207"/>
      <c r="D144" s="207"/>
      <c r="E144" s="207"/>
      <c r="F144" s="207"/>
      <c r="G144" s="207"/>
      <c r="H144" s="207"/>
      <c r="I144" s="207"/>
      <c r="J144" s="207"/>
      <c r="K144" s="44"/>
    </row>
    <row r="145" spans="1:11">
      <c r="A145" s="207"/>
      <c r="B145" s="207"/>
      <c r="C145" s="207"/>
      <c r="D145" s="207"/>
      <c r="E145" s="207"/>
      <c r="F145" s="207"/>
      <c r="G145" s="207"/>
      <c r="H145" s="207"/>
      <c r="I145" s="207"/>
      <c r="J145" s="207"/>
      <c r="K145" s="44"/>
    </row>
    <row r="146" spans="1:11" ht="15" customHeight="1" thickBot="1">
      <c r="A146" s="207"/>
      <c r="B146" s="207"/>
      <c r="C146" s="207"/>
      <c r="D146" s="207"/>
      <c r="E146" s="207"/>
      <c r="F146" s="207"/>
      <c r="G146" s="207"/>
      <c r="H146" s="207"/>
      <c r="I146" s="207"/>
      <c r="J146" s="207"/>
      <c r="K146" s="44"/>
    </row>
    <row r="147" spans="1:11" ht="15" customHeight="1" thickBot="1">
      <c r="A147" s="154" t="str">
        <f>IF(H147="","Please complete confirmation above!","")</f>
        <v>Please complete confirmation above!</v>
      </c>
      <c r="B147" s="207"/>
      <c r="C147" s="207"/>
      <c r="D147" s="207"/>
      <c r="E147" s="153" t="s">
        <v>795</v>
      </c>
      <c r="F147" s="207"/>
      <c r="G147" s="235"/>
      <c r="H147" s="122"/>
      <c r="I147" s="63" t="s">
        <v>796</v>
      </c>
      <c r="J147" s="25"/>
      <c r="K147" s="44"/>
    </row>
    <row r="148" spans="1:11">
      <c r="A148" s="62"/>
      <c r="B148" s="83"/>
      <c r="K148" s="44"/>
    </row>
    <row r="149" spans="1:11" ht="18.600000000000001" customHeight="1">
      <c r="A149" s="150" t="s">
        <v>797</v>
      </c>
      <c r="B149" s="207"/>
      <c r="C149" s="207"/>
      <c r="D149" s="207"/>
      <c r="E149" s="207"/>
      <c r="F149" s="207"/>
      <c r="G149" s="207"/>
      <c r="H149" s="207"/>
      <c r="I149" s="207"/>
      <c r="J149" s="207"/>
      <c r="K149" s="44"/>
    </row>
    <row r="150" spans="1:11" ht="18.600000000000001" customHeight="1">
      <c r="A150" s="58"/>
      <c r="B150" s="85"/>
      <c r="C150" s="85"/>
      <c r="D150" s="85"/>
      <c r="E150" s="85"/>
      <c r="F150" s="85"/>
      <c r="G150" s="85"/>
      <c r="H150" s="85"/>
      <c r="I150" s="85"/>
      <c r="J150" s="85"/>
      <c r="K150" s="44"/>
    </row>
    <row r="151" spans="1:11" s="21" customFormat="1">
      <c r="A151" s="28" t="s">
        <v>798</v>
      </c>
      <c r="B151" s="29"/>
      <c r="C151" s="29"/>
      <c r="D151" s="29"/>
      <c r="E151" s="29"/>
      <c r="F151" s="29"/>
      <c r="G151" s="29"/>
      <c r="H151" s="29"/>
      <c r="I151" s="29"/>
      <c r="J151" s="29"/>
      <c r="K151" s="29"/>
    </row>
    <row r="152" spans="1:11">
      <c r="A152" s="84">
        <v>1</v>
      </c>
      <c r="B152" s="90" t="s">
        <v>799</v>
      </c>
      <c r="C152" s="44"/>
      <c r="D152" s="44"/>
      <c r="E152" s="44"/>
      <c r="F152" s="44"/>
      <c r="G152" s="44"/>
      <c r="H152" s="44"/>
      <c r="I152" s="44"/>
      <c r="J152" s="44"/>
      <c r="K152" s="44"/>
    </row>
    <row r="153" spans="1:11" ht="14.45" customHeight="1">
      <c r="A153" s="80">
        <v>2</v>
      </c>
      <c r="B153" s="140" t="s">
        <v>800</v>
      </c>
      <c r="C153" s="207"/>
      <c r="D153" s="207"/>
      <c r="E153" s="207"/>
      <c r="F153" s="207"/>
      <c r="G153" s="207"/>
      <c r="H153" s="207"/>
      <c r="I153" s="207"/>
      <c r="J153" s="207"/>
      <c r="K153" s="207"/>
    </row>
    <row r="154" spans="1:11">
      <c r="A154" s="84">
        <v>3</v>
      </c>
      <c r="B154" s="90" t="s">
        <v>801</v>
      </c>
      <c r="C154" s="44"/>
      <c r="D154" s="44"/>
      <c r="E154" s="44"/>
      <c r="F154" s="44"/>
      <c r="G154" s="44"/>
      <c r="H154" s="44"/>
      <c r="I154" s="44"/>
      <c r="J154" s="44"/>
      <c r="K154" s="44"/>
    </row>
    <row r="155" spans="1:11">
      <c r="A155" s="44"/>
      <c r="B155" s="44"/>
      <c r="C155" s="44"/>
      <c r="D155" s="44"/>
      <c r="E155" s="44"/>
      <c r="F155" s="44"/>
      <c r="G155" s="44"/>
      <c r="H155" s="44"/>
      <c r="I155" s="44"/>
      <c r="J155" s="44"/>
      <c r="K155" s="44"/>
    </row>
    <row r="156" spans="1:11">
      <c r="A156" s="36" t="s">
        <v>802</v>
      </c>
      <c r="B156" s="44"/>
      <c r="C156" s="44"/>
      <c r="D156" s="44"/>
      <c r="E156" s="44"/>
      <c r="F156" s="44"/>
      <c r="G156" s="44"/>
      <c r="H156" s="44"/>
      <c r="I156" s="44"/>
      <c r="J156" s="44"/>
      <c r="K156" s="44"/>
    </row>
    <row r="157" spans="1:11">
      <c r="A157" s="36"/>
      <c r="B157" s="44"/>
      <c r="C157" s="44"/>
      <c r="D157" s="44"/>
      <c r="E157" s="44"/>
      <c r="F157" s="44"/>
      <c r="G157" s="44"/>
      <c r="H157" s="44"/>
      <c r="I157" s="44"/>
      <c r="J157" s="44"/>
      <c r="K157" s="44"/>
    </row>
    <row r="158" spans="1:11">
      <c r="A158" s="44"/>
      <c r="B158" s="44"/>
      <c r="C158" s="44"/>
      <c r="D158" s="44"/>
      <c r="E158" s="82" t="s">
        <v>792</v>
      </c>
      <c r="F158" s="183"/>
      <c r="G158" s="213"/>
      <c r="H158" s="213"/>
      <c r="I158" s="213"/>
      <c r="J158" s="214"/>
      <c r="K158" s="44"/>
    </row>
    <row r="159" spans="1:11">
      <c r="A159" s="44"/>
      <c r="B159" s="44"/>
      <c r="C159" s="44"/>
      <c r="D159" s="44"/>
      <c r="E159" s="82" t="s">
        <v>803</v>
      </c>
      <c r="F159" s="183"/>
      <c r="G159" s="213"/>
      <c r="H159" s="213"/>
      <c r="I159" s="213"/>
      <c r="J159" s="214"/>
      <c r="K159" s="44"/>
    </row>
    <row r="160" spans="1:11">
      <c r="A160" s="44"/>
      <c r="B160" s="44"/>
      <c r="C160" s="44"/>
      <c r="D160" s="44"/>
      <c r="E160" s="82" t="s">
        <v>804</v>
      </c>
      <c r="F160" s="183"/>
      <c r="G160" s="213"/>
      <c r="H160" s="213"/>
      <c r="I160" s="213"/>
      <c r="J160" s="214"/>
      <c r="K160" s="44"/>
    </row>
    <row r="161" spans="1:11">
      <c r="A161" s="44"/>
      <c r="B161" s="44"/>
      <c r="C161" s="44"/>
      <c r="D161" s="44"/>
      <c r="E161" s="82" t="s">
        <v>793</v>
      </c>
      <c r="F161" s="156"/>
      <c r="G161" s="213"/>
      <c r="H161" s="213"/>
      <c r="I161" s="213"/>
      <c r="J161" s="214"/>
      <c r="K161" s="44"/>
    </row>
    <row r="162" spans="1:11">
      <c r="A162" s="44"/>
      <c r="B162" s="44"/>
      <c r="C162" s="44"/>
      <c r="D162" s="44"/>
      <c r="E162" s="82" t="s">
        <v>805</v>
      </c>
      <c r="F162" s="155"/>
      <c r="G162" s="213"/>
      <c r="H162" s="213"/>
      <c r="I162" s="213"/>
      <c r="J162" s="214"/>
      <c r="K162" s="44"/>
    </row>
    <row r="163" spans="1:11">
      <c r="A163" s="44"/>
      <c r="B163" s="44"/>
      <c r="C163" s="44"/>
      <c r="D163" s="44"/>
      <c r="E163" s="82" t="s">
        <v>806</v>
      </c>
      <c r="F163" s="155"/>
      <c r="G163" s="213"/>
      <c r="H163" s="213"/>
      <c r="I163" s="213"/>
      <c r="J163" s="214"/>
      <c r="K163" s="44"/>
    </row>
    <row r="164" spans="1:11">
      <c r="A164" s="44"/>
      <c r="B164" s="44"/>
      <c r="C164" s="44"/>
      <c r="D164" s="44"/>
      <c r="E164" s="82"/>
      <c r="F164" s="96"/>
      <c r="G164" s="96"/>
      <c r="H164" s="96"/>
      <c r="I164" s="96"/>
      <c r="J164" s="96"/>
      <c r="K164" s="44"/>
    </row>
    <row r="165" spans="1:11">
      <c r="A165" s="44" t="s">
        <v>807</v>
      </c>
      <c r="B165" s="44"/>
      <c r="C165" s="44"/>
      <c r="D165" s="44"/>
      <c r="E165" s="44"/>
      <c r="F165" s="44"/>
      <c r="G165" s="44"/>
      <c r="H165" s="44"/>
      <c r="I165" s="44"/>
      <c r="J165" s="44"/>
      <c r="K165" s="44"/>
    </row>
    <row r="166" spans="1:11">
      <c r="A166" s="44"/>
      <c r="B166" s="44"/>
      <c r="C166" s="44"/>
      <c r="D166" s="44"/>
      <c r="E166" s="44"/>
      <c r="F166" s="44"/>
      <c r="G166" s="44"/>
      <c r="H166" s="44"/>
      <c r="I166" s="44"/>
      <c r="J166" s="44"/>
      <c r="K166" s="44"/>
    </row>
    <row r="167" spans="1:11">
      <c r="A167" s="2"/>
      <c r="B167" s="191" t="s">
        <v>808</v>
      </c>
      <c r="C167" s="206"/>
      <c r="D167" s="191" t="s">
        <v>809</v>
      </c>
      <c r="E167" s="206"/>
      <c r="F167" s="38" t="s">
        <v>810</v>
      </c>
      <c r="G167" s="39" t="s">
        <v>811</v>
      </c>
      <c r="H167" s="39"/>
      <c r="I167" s="45" t="s">
        <v>812</v>
      </c>
      <c r="J167" s="38" t="s">
        <v>813</v>
      </c>
      <c r="K167" s="44"/>
    </row>
    <row r="168" spans="1:11">
      <c r="A168" s="40"/>
      <c r="B168" s="192"/>
      <c r="C168" s="236"/>
      <c r="D168" s="193"/>
      <c r="E168" s="237"/>
      <c r="F168" s="72" t="s">
        <v>814</v>
      </c>
      <c r="G168" s="194" t="s">
        <v>815</v>
      </c>
      <c r="H168" s="236"/>
      <c r="I168" s="41">
        <v>10</v>
      </c>
      <c r="J168" s="41" t="s">
        <v>816</v>
      </c>
      <c r="K168" s="44"/>
    </row>
    <row r="169" spans="1:11" ht="28.5" customHeight="1">
      <c r="A169" s="2"/>
      <c r="B169" s="187" t="s">
        <v>817</v>
      </c>
      <c r="C169" s="217"/>
      <c r="D169" s="187" t="s">
        <v>818</v>
      </c>
      <c r="E169" s="217"/>
      <c r="F169" s="2"/>
      <c r="G169" s="195" t="s">
        <v>819</v>
      </c>
      <c r="H169" s="217"/>
      <c r="I169" s="2"/>
      <c r="J169" s="2"/>
      <c r="K169" s="44"/>
    </row>
    <row r="170" spans="1:11">
      <c r="A170" s="2"/>
      <c r="B170" s="42" t="str">
        <f>CONCATENATE(IF(LEN($B$168)&lt;&gt;6,"must be 6 characters",""),IF(ISNUMBER(FIND("999",$B$168))," / can't use 999 code ! ",""))</f>
        <v>must be 6 characters</v>
      </c>
      <c r="C170" s="40"/>
      <c r="D170" s="43"/>
      <c r="E170" s="2"/>
      <c r="F170" s="2"/>
      <c r="G170" s="43" t="str">
        <f>IF(LEN($G$168)&lt;&gt;5,"must be 5 characters","")</f>
        <v/>
      </c>
      <c r="H170" s="2"/>
      <c r="I170" s="2"/>
      <c r="J170" s="2"/>
      <c r="K170" s="44"/>
    </row>
    <row r="171" spans="1:11">
      <c r="A171" s="44"/>
      <c r="B171" s="189" t="str">
        <f>IFERROR(IF($B$168&lt;&gt;"",VLOOKUP(LEFT($B$168,2),CostCentre,2,FALSE),""),"")</f>
        <v/>
      </c>
      <c r="C171" s="207"/>
      <c r="D171" s="207"/>
      <c r="E171" s="207"/>
      <c r="F171" s="207"/>
      <c r="G171" s="207"/>
      <c r="H171" s="207"/>
      <c r="I171" s="207"/>
      <c r="J171" s="207"/>
      <c r="K171" s="44"/>
    </row>
    <row r="172" spans="1:11">
      <c r="A172" s="44"/>
      <c r="B172" s="44"/>
      <c r="C172" s="44"/>
      <c r="D172" s="44"/>
      <c r="E172" s="82"/>
      <c r="F172" s="96"/>
      <c r="G172" s="96"/>
      <c r="H172" s="96"/>
      <c r="I172" s="96"/>
      <c r="J172" s="96"/>
      <c r="K172" s="44"/>
    </row>
    <row r="173" spans="1:11" ht="15" customHeight="1">
      <c r="A173" s="188" t="s">
        <v>820</v>
      </c>
      <c r="B173" s="207"/>
      <c r="C173" s="207"/>
      <c r="D173" s="210" t="s">
        <v>740</v>
      </c>
      <c r="E173" s="207"/>
      <c r="F173" s="207"/>
      <c r="G173" s="65"/>
      <c r="H173" s="190"/>
      <c r="I173" s="207"/>
      <c r="J173" s="207"/>
      <c r="K173" s="66"/>
    </row>
    <row r="174" spans="1:11">
      <c r="A174" s="66" t="s">
        <v>821</v>
      </c>
      <c r="B174" s="92"/>
      <c r="C174" s="92"/>
      <c r="D174" s="89"/>
      <c r="E174" s="89"/>
      <c r="F174" s="89"/>
      <c r="G174" s="64"/>
      <c r="H174" s="64"/>
      <c r="I174" s="64"/>
      <c r="J174" s="64"/>
      <c r="K174" s="64"/>
    </row>
    <row r="175" spans="1:11">
      <c r="A175" s="92"/>
      <c r="B175" s="92"/>
      <c r="C175" s="92"/>
      <c r="D175" s="89"/>
      <c r="E175" s="89"/>
      <c r="F175" s="89"/>
      <c r="G175" s="64"/>
      <c r="H175" s="64"/>
      <c r="I175" s="64"/>
      <c r="J175" s="64"/>
      <c r="K175" s="64"/>
    </row>
    <row r="176" spans="1:11">
      <c r="A176" s="185" t="s">
        <v>822</v>
      </c>
      <c r="B176" s="185"/>
      <c r="C176" s="185"/>
      <c r="D176" s="185"/>
      <c r="E176" s="185"/>
      <c r="F176" s="185"/>
      <c r="G176" s="185"/>
      <c r="H176" s="185"/>
      <c r="I176" s="185"/>
      <c r="J176" s="185"/>
    </row>
  </sheetData>
  <mergeCells count="125">
    <mergeCell ref="A7:J7"/>
    <mergeCell ref="B24:J25"/>
    <mergeCell ref="B35:J35"/>
    <mergeCell ref="B36:J36"/>
    <mergeCell ref="A19:A20"/>
    <mergeCell ref="A22:A23"/>
    <mergeCell ref="A24:A25"/>
    <mergeCell ref="A27:A29"/>
    <mergeCell ref="A30:A32"/>
    <mergeCell ref="A33:A34"/>
    <mergeCell ref="B21:J21"/>
    <mergeCell ref="B22:J23"/>
    <mergeCell ref="B26:J26"/>
    <mergeCell ref="B27:J29"/>
    <mergeCell ref="B30:J32"/>
    <mergeCell ref="B33:J34"/>
    <mergeCell ref="A8:J8"/>
    <mergeCell ref="G78:H78"/>
    <mergeCell ref="D97:J97"/>
    <mergeCell ref="I90:J90"/>
    <mergeCell ref="A90:H90"/>
    <mergeCell ref="A176:J176"/>
    <mergeCell ref="A128:J134"/>
    <mergeCell ref="F161:J161"/>
    <mergeCell ref="F159:J159"/>
    <mergeCell ref="D169:E169"/>
    <mergeCell ref="A173:C173"/>
    <mergeCell ref="D173:F173"/>
    <mergeCell ref="B171:J171"/>
    <mergeCell ref="F162:J162"/>
    <mergeCell ref="H173:J173"/>
    <mergeCell ref="F163:J163"/>
    <mergeCell ref="B167:C167"/>
    <mergeCell ref="D167:E167"/>
    <mergeCell ref="B168:C168"/>
    <mergeCell ref="D168:E168"/>
    <mergeCell ref="G168:H168"/>
    <mergeCell ref="B169:C169"/>
    <mergeCell ref="G169:H169"/>
    <mergeCell ref="F158:J158"/>
    <mergeCell ref="F160:J160"/>
    <mergeCell ref="H85:I85"/>
    <mergeCell ref="A87:J87"/>
    <mergeCell ref="A108:K109"/>
    <mergeCell ref="F142:J142"/>
    <mergeCell ref="A123:A124"/>
    <mergeCell ref="A136:J137"/>
    <mergeCell ref="D98:J98"/>
    <mergeCell ref="D99:J99"/>
    <mergeCell ref="D100:J100"/>
    <mergeCell ref="D101:J101"/>
    <mergeCell ref="D102:J102"/>
    <mergeCell ref="D103:J103"/>
    <mergeCell ref="D104:J104"/>
    <mergeCell ref="D105:J105"/>
    <mergeCell ref="E88:J88"/>
    <mergeCell ref="G76:H76"/>
    <mergeCell ref="G75:H75"/>
    <mergeCell ref="E76:F76"/>
    <mergeCell ref="A77:C77"/>
    <mergeCell ref="A53:J54"/>
    <mergeCell ref="E56:F56"/>
    <mergeCell ref="A57:D57"/>
    <mergeCell ref="A56:D56"/>
    <mergeCell ref="A55:J55"/>
    <mergeCell ref="A51:E51"/>
    <mergeCell ref="A46:J46"/>
    <mergeCell ref="A38:J38"/>
    <mergeCell ref="B39:J40"/>
    <mergeCell ref="A9:J9"/>
    <mergeCell ref="A10:J12"/>
    <mergeCell ref="A13:J14"/>
    <mergeCell ref="A15:J17"/>
    <mergeCell ref="B19:J20"/>
    <mergeCell ref="B41:J42"/>
    <mergeCell ref="A39:A40"/>
    <mergeCell ref="A41:A42"/>
    <mergeCell ref="B153:K153"/>
    <mergeCell ref="A68:C68"/>
    <mergeCell ref="H71:J71"/>
    <mergeCell ref="A71:G71"/>
    <mergeCell ref="A73:J73"/>
    <mergeCell ref="A83:J83"/>
    <mergeCell ref="E78:F78"/>
    <mergeCell ref="A149:J149"/>
    <mergeCell ref="I113:J113"/>
    <mergeCell ref="A115:J117"/>
    <mergeCell ref="A119:H120"/>
    <mergeCell ref="I119:J119"/>
    <mergeCell ref="E147:G147"/>
    <mergeCell ref="A147:D147"/>
    <mergeCell ref="B122:J126"/>
    <mergeCell ref="F139:J141"/>
    <mergeCell ref="F143:J143"/>
    <mergeCell ref="A139:E141"/>
    <mergeCell ref="I75:J79"/>
    <mergeCell ref="B72:I72"/>
    <mergeCell ref="D68:J68"/>
    <mergeCell ref="A144:J146"/>
    <mergeCell ref="D106:J106"/>
    <mergeCell ref="A111:J111"/>
    <mergeCell ref="I80:J80"/>
    <mergeCell ref="A88:D88"/>
    <mergeCell ref="A60:D60"/>
    <mergeCell ref="E59:F59"/>
    <mergeCell ref="I49:K49"/>
    <mergeCell ref="F49:H49"/>
    <mergeCell ref="B47:J48"/>
    <mergeCell ref="A43:A45"/>
    <mergeCell ref="B43:J45"/>
    <mergeCell ref="E65:J65"/>
    <mergeCell ref="A49:E49"/>
    <mergeCell ref="A62:D62"/>
    <mergeCell ref="A61:D61"/>
    <mergeCell ref="A63:D63"/>
    <mergeCell ref="A64:D64"/>
    <mergeCell ref="A65:D65"/>
    <mergeCell ref="E64:J64"/>
    <mergeCell ref="E57:J57"/>
    <mergeCell ref="E58:J58"/>
    <mergeCell ref="A52:G52"/>
    <mergeCell ref="E60:J60"/>
    <mergeCell ref="A58:D58"/>
    <mergeCell ref="E77:F77"/>
    <mergeCell ref="G77:H77"/>
  </mergeCells>
  <conditionalFormatting sqref="E59">
    <cfRule type="expression" dxfId="1" priority="19">
      <formula>#REF!&lt;&gt;""</formula>
    </cfRule>
  </conditionalFormatting>
  <conditionalFormatting sqref="A71:J71 A77 D77:H77 G78:H78">
    <cfRule type="expression" dxfId="0" priority="18">
      <formula>#REF!&lt;&gt;"Yes"</formula>
    </cfRule>
  </conditionalFormatting>
  <conditionalFormatting sqref="A123">
    <cfRule type="iconSet" priority="8">
      <iconSet iconSet="3Symbols2" showValue="0">
        <cfvo type="percent" val="0"/>
        <cfvo type="num" val="0"/>
        <cfvo type="num" val="10"/>
      </iconSet>
    </cfRule>
  </conditionalFormatting>
  <dataValidations count="6">
    <dataValidation type="date" allowBlank="1" showInputMessage="1" showErrorMessage="1" errorTitle="Date of birth error" error="Please enter date of birth in the format - DD/MM/YYYY_x000a__x000a_Is this a valid date? Remember (30 days hath September...)" sqref="E59:F59" xr:uid="{00000000-0002-0000-0200-000000000000}">
      <formula1>DATE(YEAR(TODAY())-80,MONTH(TODAY()),DAY(TODAY()))</formula1>
      <formula2>DATE(YEAR(TODAY())-16,MONTH(TODAY()),DAY(TODAY()))</formula2>
    </dataValidation>
    <dataValidation type="whole" allowBlank="1" showInputMessage="1" showErrorMessage="1" errorTitle="No. of months" error="Please enter a whole number of months if you wish the loan to be recovered over a shorter period." sqref="I119:J119" xr:uid="{00000000-0002-0000-0200-000001000000}">
      <formula1>2</formula1>
      <formula2>23</formula2>
    </dataValidation>
    <dataValidation type="date" allowBlank="1" showInputMessage="1" showErrorMessage="1" errorTitle="Contract end date error" error="Please enter contract end date in the format - DD/MM/YYYY_x000a__x000a_Is this a valid date? Remember (30 days hath September...)" sqref="I113:J113" xr:uid="{00000000-0002-0000-0200-000002000000}">
      <formula1>DATE(YEAR(TODAY()),MONTH(TODAY())+3,DAY(TODAY()))</formula1>
      <formula2>DATE(YEAR(TODAY())+10,MONTH(TODAY()),DAY(TODAY()))</formula2>
    </dataValidation>
    <dataValidation type="date" allowBlank="1" showInputMessage="1" showErrorMessage="1" errorTitle="Date input error" error="Please enter date in the format - DD/MM/YYYY_x000a__x000a_A date in the past cannot be entered._x000a__x000a_Is this a valid date? Remember (30 days hath September...)" sqref="F161:J161" xr:uid="{00000000-0002-0000-0200-000003000000}">
      <formula1>TODAY()</formula1>
      <formula2>DATE(YEAR(TODAY()),MONTH(TODAY())+2,DAY(TODAY()))</formula2>
    </dataValidation>
    <dataValidation type="date" allowBlank="1" showInputMessage="1" showErrorMessage="1" errorTitle="Date input errror" error="Please enter date in the format - DD/MM/YYYY_x000a__x000a_A date in the past cannot be entered._x000a__x000a_Is this a valid date? Remember (30 days hath September...)" sqref="F143:J143" xr:uid="{00000000-0002-0000-0200-000004000000}">
      <formula1>TODAY()</formula1>
      <formula2>DATE(YEAR(TODAY()),MONTH(TODAY())+2,DAY(TODAY()))</formula2>
    </dataValidation>
    <dataValidation type="list" allowBlank="1" showInputMessage="1" showErrorMessage="1" sqref="E56:F56" xr:uid="{00000000-0002-0000-0200-000005000000}">
      <formula1>Title</formula1>
    </dataValidation>
  </dataValidations>
  <hyperlinks>
    <hyperlink ref="A39" location="'Visa Loan Scheme request form'!E58" display="Step 1" xr:uid="{00000000-0004-0000-0200-000000000000}"/>
    <hyperlink ref="A41" location="'Visa Loan Scheme request form'!F172" display="Step 2" xr:uid="{00000000-0004-0000-0200-000001000000}"/>
    <hyperlink ref="F49" r:id="rId1" xr:uid="{00000000-0004-0000-0200-000002000000}"/>
    <hyperlink ref="D173" r:id="rId2" xr:uid="{00000000-0004-0000-0200-000003000000}"/>
  </hyperlinks>
  <pageMargins left="0.98425196850393704" right="0.98425196850393704" top="0.98425196850393704" bottom="0.98425196850393704" header="0.51181102362204722" footer="0.51181102362204722"/>
  <pageSetup paperSize="9" scale="80" fitToHeight="3" orientation="portrait" r:id="rId3"/>
  <headerFooter alignWithMargins="0">
    <oddHeader>&amp;C&amp;K00-044INTERNAL USE ONLY</oddHeader>
    <oddFooter>&amp;L&amp;K00-027Updated November 2025&amp;R&amp;K00-027Page &amp;P of &amp;N</oddFooter>
  </headerFooter>
  <rowBreaks count="3" manualBreakCount="3">
    <brk id="51" max="10" man="1"/>
    <brk id="86" max="10" man="1"/>
    <brk id="148" max="10"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33"/>
  <sheetViews>
    <sheetView workbookViewId="0">
      <pane ySplit="13" topLeftCell="A14" activePane="bottomLeft" state="frozen"/>
      <selection pane="bottomLeft" activeCell="B3" sqref="B3"/>
    </sheetView>
  </sheetViews>
  <sheetFormatPr defaultRowHeight="14.45"/>
  <cols>
    <col min="1" max="1" width="44.140625" bestFit="1" customWidth="1"/>
    <col min="2" max="2" width="15" customWidth="1"/>
    <col min="3" max="3" width="22" customWidth="1"/>
    <col min="4" max="4" width="18" customWidth="1"/>
    <col min="5" max="5" width="15" customWidth="1"/>
    <col min="6" max="6" width="16" customWidth="1"/>
    <col min="7" max="7" width="20" customWidth="1"/>
  </cols>
  <sheetData>
    <row r="1" spans="1:7" ht="18.600000000000001">
      <c r="A1" s="97" t="s">
        <v>823</v>
      </c>
    </row>
    <row r="2" spans="1:7">
      <c r="A2" s="98" t="s">
        <v>824</v>
      </c>
      <c r="B2">
        <v>3000</v>
      </c>
      <c r="D2" t="s">
        <v>825</v>
      </c>
    </row>
    <row r="3" spans="1:7">
      <c r="A3" s="98" t="s">
        <v>826</v>
      </c>
      <c r="B3">
        <v>12</v>
      </c>
      <c r="D3" t="s">
        <v>827</v>
      </c>
    </row>
    <row r="4" spans="1:7">
      <c r="A4" s="98" t="s">
        <v>828</v>
      </c>
      <c r="B4">
        <v>0</v>
      </c>
      <c r="D4" t="s">
        <v>829</v>
      </c>
    </row>
    <row r="5" spans="1:7">
      <c r="A5" s="98" t="s">
        <v>830</v>
      </c>
      <c r="B5" s="99">
        <v>46125</v>
      </c>
      <c r="D5" t="s">
        <v>831</v>
      </c>
    </row>
    <row r="7" spans="1:7">
      <c r="A7" s="98" t="s">
        <v>832</v>
      </c>
      <c r="B7">
        <f>B4/100/12</f>
        <v>0</v>
      </c>
    </row>
    <row r="8" spans="1:7">
      <c r="A8" s="98" t="s">
        <v>833</v>
      </c>
      <c r="B8">
        <f>IF(B7&gt;0, -PMT(B7,B3,B2), ROUND(B2/B3,2))</f>
        <v>250</v>
      </c>
    </row>
    <row r="9" spans="1:7">
      <c r="A9" s="98" t="s">
        <v>834</v>
      </c>
      <c r="B9">
        <f>ROUND(B8,2)</f>
        <v>250</v>
      </c>
    </row>
    <row r="10" spans="1:7">
      <c r="A10" s="98" t="s">
        <v>835</v>
      </c>
      <c r="B10">
        <f>ROUND(B2 - (B3-1)*B9,2)</f>
        <v>250</v>
      </c>
    </row>
    <row r="12" spans="1:7" ht="15.6">
      <c r="A12" s="238" t="s">
        <v>836</v>
      </c>
      <c r="B12" s="205"/>
      <c r="C12" s="205"/>
      <c r="D12" s="205"/>
      <c r="E12" s="205"/>
      <c r="F12" s="205"/>
      <c r="G12" s="205"/>
    </row>
    <row r="13" spans="1:7">
      <c r="A13" s="100" t="s">
        <v>837</v>
      </c>
      <c r="B13" s="100" t="s">
        <v>838</v>
      </c>
      <c r="C13" s="100" t="s">
        <v>839</v>
      </c>
      <c r="D13" s="100" t="s">
        <v>840</v>
      </c>
      <c r="E13" s="100" t="s">
        <v>841</v>
      </c>
      <c r="F13" s="100" t="s">
        <v>842</v>
      </c>
      <c r="G13" s="100" t="s">
        <v>843</v>
      </c>
    </row>
    <row r="14" spans="1:7">
      <c r="A14" s="101">
        <f>IF(1&lt;=B3,1,"")</f>
        <v>1</v>
      </c>
      <c r="B14" s="102">
        <f>IF(1&lt;=B3, B5, "")</f>
        <v>46125</v>
      </c>
      <c r="C14" s="103">
        <f>IF(1&lt;=B3, B2, "")</f>
        <v>3000</v>
      </c>
      <c r="D14" s="103">
        <f>IF(1&lt;=B3, IF(1=B3, B10, B9), "")</f>
        <v>250</v>
      </c>
      <c r="E14" s="103">
        <f>IF(1&lt;=B3, C14*B7, "")</f>
        <v>0</v>
      </c>
      <c r="F14" s="103">
        <f>IF(1&lt;=B3, D14-E14, "")</f>
        <v>250</v>
      </c>
      <c r="G14" s="103">
        <f>IF(1&lt;=B3, C14-F14, "")</f>
        <v>2750</v>
      </c>
    </row>
    <row r="15" spans="1:7">
      <c r="A15" s="101">
        <f>IF(2&lt;=B3,2,"")</f>
        <v>2</v>
      </c>
      <c r="B15" s="102">
        <f>IF(2&lt;=B3, B5+1*30, "")</f>
        <v>46155</v>
      </c>
      <c r="C15" s="103">
        <f>IF(2&lt;=B3, G14, "")</f>
        <v>2750</v>
      </c>
      <c r="D15" s="103">
        <f>IF(2&lt;=B3, IF(2=B3, B10, B9), "")</f>
        <v>250</v>
      </c>
      <c r="E15" s="103">
        <f>IF(2&lt;=B3, C15*B7, "")</f>
        <v>0</v>
      </c>
      <c r="F15" s="103">
        <f>IF(2&lt;=B3, D15-E15, "")</f>
        <v>250</v>
      </c>
      <c r="G15" s="103">
        <f>IF(2&lt;=B3, C15-F15, "")</f>
        <v>2500</v>
      </c>
    </row>
    <row r="16" spans="1:7">
      <c r="A16" s="101">
        <f>IF(3&lt;=B3,3,"")</f>
        <v>3</v>
      </c>
      <c r="B16" s="102">
        <f>IF(3&lt;=B3, B5+2*30, "")</f>
        <v>46185</v>
      </c>
      <c r="C16" s="103">
        <f>IF(3&lt;=B3, G15, "")</f>
        <v>2500</v>
      </c>
      <c r="D16" s="103">
        <f>IF(3&lt;=B3, IF(3=B3, B10, B9), "")</f>
        <v>250</v>
      </c>
      <c r="E16" s="103">
        <f>IF(3&lt;=B3, C16*B7, "")</f>
        <v>0</v>
      </c>
      <c r="F16" s="103">
        <f>IF(3&lt;=B3, D16-E16, "")</f>
        <v>250</v>
      </c>
      <c r="G16" s="103">
        <f>IF(3&lt;=B3, C16-F16, "")</f>
        <v>2250</v>
      </c>
    </row>
    <row r="17" spans="1:7">
      <c r="A17" s="101">
        <f>IF(4&lt;=B3,4,"")</f>
        <v>4</v>
      </c>
      <c r="B17" s="102">
        <f>IF(4&lt;=B3, B5+3*30, "")</f>
        <v>46215</v>
      </c>
      <c r="C17" s="103">
        <f>IF(4&lt;=B3, G16, "")</f>
        <v>2250</v>
      </c>
      <c r="D17" s="103">
        <f>IF(4&lt;=B3, IF(4=B3, B10, B9), "")</f>
        <v>250</v>
      </c>
      <c r="E17" s="103">
        <f>IF(4&lt;=B3, C17*B7, "")</f>
        <v>0</v>
      </c>
      <c r="F17" s="103">
        <f>IF(4&lt;=B3, D17-E17, "")</f>
        <v>250</v>
      </c>
      <c r="G17" s="103">
        <f>IF(4&lt;=B3, C17-F17, "")</f>
        <v>2000</v>
      </c>
    </row>
    <row r="18" spans="1:7">
      <c r="A18" s="101">
        <f>IF(5&lt;=B3,5,"")</f>
        <v>5</v>
      </c>
      <c r="B18" s="102">
        <f>IF(5&lt;=B3, B5+4*30, "")</f>
        <v>46245</v>
      </c>
      <c r="C18" s="103">
        <f>IF(5&lt;=B3, G17, "")</f>
        <v>2000</v>
      </c>
      <c r="D18" s="103">
        <f>IF(5&lt;=B3, IF(5=B3, B10, B9), "")</f>
        <v>250</v>
      </c>
      <c r="E18" s="103">
        <f>IF(5&lt;=B3, C18*B7, "")</f>
        <v>0</v>
      </c>
      <c r="F18" s="103">
        <f>IF(5&lt;=B3, D18-E18, "")</f>
        <v>250</v>
      </c>
      <c r="G18" s="103">
        <f>IF(5&lt;=B3, C18-F18, "")</f>
        <v>1750</v>
      </c>
    </row>
    <row r="19" spans="1:7">
      <c r="A19" s="101">
        <f>IF(6&lt;=B3,6,"")</f>
        <v>6</v>
      </c>
      <c r="B19" s="102">
        <f>IF(6&lt;=B3, B5+5*30, "")</f>
        <v>46275</v>
      </c>
      <c r="C19" s="103">
        <f>IF(6&lt;=B3, G18, "")</f>
        <v>1750</v>
      </c>
      <c r="D19" s="103">
        <f>IF(6&lt;=B3, IF(6=B3, B10, B9), "")</f>
        <v>250</v>
      </c>
      <c r="E19" s="103">
        <f>IF(6&lt;=B3, C19*B7, "")</f>
        <v>0</v>
      </c>
      <c r="F19" s="103">
        <f>IF(6&lt;=B3, D19-E19, "")</f>
        <v>250</v>
      </c>
      <c r="G19" s="103">
        <f>IF(6&lt;=B3, C19-F19, "")</f>
        <v>1500</v>
      </c>
    </row>
    <row r="20" spans="1:7">
      <c r="A20" s="101">
        <f>IF(7&lt;=B3,7,"")</f>
        <v>7</v>
      </c>
      <c r="B20" s="102">
        <f>IF(7&lt;=B3, B5+6*30, "")</f>
        <v>46305</v>
      </c>
      <c r="C20" s="103">
        <f>IF(7&lt;=B3, G19, "")</f>
        <v>1500</v>
      </c>
      <c r="D20" s="103">
        <f>IF(7&lt;=B3, IF(7=B3, B10, B9), "")</f>
        <v>250</v>
      </c>
      <c r="E20" s="103">
        <f>IF(7&lt;=B3, C20*B7, "")</f>
        <v>0</v>
      </c>
      <c r="F20" s="103">
        <f>IF(7&lt;=B3, D20-E20, "")</f>
        <v>250</v>
      </c>
      <c r="G20" s="103">
        <f>IF(7&lt;=B3, C20-F20, "")</f>
        <v>1250</v>
      </c>
    </row>
    <row r="21" spans="1:7">
      <c r="A21" s="101">
        <f>IF(8&lt;=B3,8,"")</f>
        <v>8</v>
      </c>
      <c r="B21" s="102">
        <f>IF(8&lt;=B3, B5+7*30, "")</f>
        <v>46335</v>
      </c>
      <c r="C21" s="103">
        <f>IF(8&lt;=B3, G20, "")</f>
        <v>1250</v>
      </c>
      <c r="D21" s="103">
        <f>IF(8&lt;=B3, IF(8=B3, B10, B9), "")</f>
        <v>250</v>
      </c>
      <c r="E21" s="103">
        <f>IF(8&lt;=B3, C21*B7, "")</f>
        <v>0</v>
      </c>
      <c r="F21" s="103">
        <f>IF(8&lt;=B3, D21-E21, "")</f>
        <v>250</v>
      </c>
      <c r="G21" s="103">
        <f>IF(8&lt;=B3, C21-F21, "")</f>
        <v>1000</v>
      </c>
    </row>
    <row r="22" spans="1:7">
      <c r="A22" s="101">
        <f>IF(9&lt;=B3,9,"")</f>
        <v>9</v>
      </c>
      <c r="B22" s="102">
        <f>IF(9&lt;=B3, B5+8*30, "")</f>
        <v>46365</v>
      </c>
      <c r="C22" s="103">
        <f>IF(9&lt;=B3, G21, "")</f>
        <v>1000</v>
      </c>
      <c r="D22" s="103">
        <f>IF(9&lt;=B3, IF(9=B3, B10, B9), "")</f>
        <v>250</v>
      </c>
      <c r="E22" s="103">
        <f>IF(9&lt;=B3, C22*B7, "")</f>
        <v>0</v>
      </c>
      <c r="F22" s="103">
        <f>IF(9&lt;=B3, D22-E22, "")</f>
        <v>250</v>
      </c>
      <c r="G22" s="103">
        <f>IF(9&lt;=B3, C22-F22, "")</f>
        <v>750</v>
      </c>
    </row>
    <row r="23" spans="1:7">
      <c r="A23" s="101">
        <f>IF(10&lt;=B3,10,"")</f>
        <v>10</v>
      </c>
      <c r="B23" s="102">
        <f>IF(10&lt;=B3, B5+9*30, "")</f>
        <v>46395</v>
      </c>
      <c r="C23" s="103">
        <f>IF(10&lt;=B3, G22, "")</f>
        <v>750</v>
      </c>
      <c r="D23" s="103">
        <f>IF(10&lt;=B3, IF(10=B3, B10, B9), "")</f>
        <v>250</v>
      </c>
      <c r="E23" s="103">
        <f>IF(10&lt;=B3, C23*B7, "")</f>
        <v>0</v>
      </c>
      <c r="F23" s="103">
        <f>IF(10&lt;=B3, D23-E23, "")</f>
        <v>250</v>
      </c>
      <c r="G23" s="103">
        <f>IF(10&lt;=B3, C23-F23, "")</f>
        <v>500</v>
      </c>
    </row>
    <row r="24" spans="1:7">
      <c r="A24" s="101">
        <f>IF(11&lt;=B3,11,"")</f>
        <v>11</v>
      </c>
      <c r="B24" s="102">
        <f>IF(11&lt;=B3, B5+10*30, "")</f>
        <v>46425</v>
      </c>
      <c r="C24" s="103">
        <f>IF(11&lt;=B3, G23, "")</f>
        <v>500</v>
      </c>
      <c r="D24" s="103">
        <f>IF(11&lt;=B3, IF(11=B3, B10, B9), "")</f>
        <v>250</v>
      </c>
      <c r="E24" s="103">
        <f>IF(11&lt;=B3, C24*B7, "")</f>
        <v>0</v>
      </c>
      <c r="F24" s="103">
        <f>IF(11&lt;=B3, D24-E24, "")</f>
        <v>250</v>
      </c>
      <c r="G24" s="103">
        <f>IF(11&lt;=B3, C24-F24, "")</f>
        <v>250</v>
      </c>
    </row>
    <row r="25" spans="1:7">
      <c r="A25" s="101">
        <f>IF(12&lt;=B3,12,"")</f>
        <v>12</v>
      </c>
      <c r="B25" s="102">
        <f>IF(12&lt;=B3, B5+11*30, "")</f>
        <v>46455</v>
      </c>
      <c r="C25" s="103">
        <f>IF(12&lt;=B3, G24, "")</f>
        <v>250</v>
      </c>
      <c r="D25" s="103">
        <f>IF(12&lt;=B3, IF(12=B3, B10, B9), "")</f>
        <v>250</v>
      </c>
      <c r="E25" s="103">
        <f>IF(12&lt;=B3, C25*B7, "")</f>
        <v>0</v>
      </c>
      <c r="F25" s="103">
        <f>IF(12&lt;=B3, D25-E25, "")</f>
        <v>250</v>
      </c>
      <c r="G25" s="103">
        <f>IF(12&lt;=B3, C25-F25, "")</f>
        <v>0</v>
      </c>
    </row>
    <row r="26" spans="1:7">
      <c r="A26" s="101" t="str">
        <f>IF(13&lt;=B3,13,"")</f>
        <v/>
      </c>
      <c r="B26" s="102" t="str">
        <f>IF(13&lt;=B3, B5+12*30, "")</f>
        <v/>
      </c>
      <c r="C26" s="103" t="str">
        <f>IF(13&lt;=B3, G25, "")</f>
        <v/>
      </c>
      <c r="D26" s="103" t="str">
        <f>IF(13&lt;=B3, IF(13=B3, B10, B9), "")</f>
        <v/>
      </c>
      <c r="E26" s="103" t="str">
        <f>IF(13&lt;=B3, C26*B7, "")</f>
        <v/>
      </c>
      <c r="F26" s="103" t="str">
        <f>IF(13&lt;=B3, D26-E26, "")</f>
        <v/>
      </c>
      <c r="G26" s="103" t="str">
        <f>IF(13&lt;=B3, C26-F26, "")</f>
        <v/>
      </c>
    </row>
    <row r="27" spans="1:7">
      <c r="A27" s="101" t="str">
        <f>IF(14&lt;=B3,14,"")</f>
        <v/>
      </c>
      <c r="B27" s="102" t="str">
        <f>IF(14&lt;=B3, B5+13*30, "")</f>
        <v/>
      </c>
      <c r="C27" s="103" t="str">
        <f>IF(14&lt;=B3, G26, "")</f>
        <v/>
      </c>
      <c r="D27" s="103" t="str">
        <f>IF(14&lt;=B3, IF(14=B3, B10, B9), "")</f>
        <v/>
      </c>
      <c r="E27" s="103" t="str">
        <f>IF(14&lt;=B3, C27*B7, "")</f>
        <v/>
      </c>
      <c r="F27" s="103" t="str">
        <f>IF(14&lt;=B3, D27-E27, "")</f>
        <v/>
      </c>
      <c r="G27" s="103" t="str">
        <f>IF(14&lt;=B3, C27-F27, "")</f>
        <v/>
      </c>
    </row>
    <row r="28" spans="1:7">
      <c r="A28" s="101" t="str">
        <f>IF(15&lt;=B3,15,"")</f>
        <v/>
      </c>
      <c r="B28" s="102" t="str">
        <f>IF(15&lt;=B3, B5+14*30, "")</f>
        <v/>
      </c>
      <c r="C28" s="103" t="str">
        <f>IF(15&lt;=B3, G27, "")</f>
        <v/>
      </c>
      <c r="D28" s="103" t="str">
        <f>IF(15&lt;=B3, IF(15=B3, B10, B9), "")</f>
        <v/>
      </c>
      <c r="E28" s="103" t="str">
        <f>IF(15&lt;=B3, C28*B7, "")</f>
        <v/>
      </c>
      <c r="F28" s="103" t="str">
        <f>IF(15&lt;=B3, D28-E28, "")</f>
        <v/>
      </c>
      <c r="G28" s="103" t="str">
        <f>IF(15&lt;=B3, C28-F28, "")</f>
        <v/>
      </c>
    </row>
    <row r="29" spans="1:7">
      <c r="A29" s="101" t="str">
        <f>IF(16&lt;=B3,16,"")</f>
        <v/>
      </c>
      <c r="B29" s="102" t="str">
        <f>IF(16&lt;=B3, B5+15*30, "")</f>
        <v/>
      </c>
      <c r="C29" s="103" t="str">
        <f>IF(16&lt;=B3, G28, "")</f>
        <v/>
      </c>
      <c r="D29" s="103" t="str">
        <f>IF(16&lt;=B3, IF(16=B3, B10, B9), "")</f>
        <v/>
      </c>
      <c r="E29" s="103" t="str">
        <f>IF(16&lt;=B3, C29*B7, "")</f>
        <v/>
      </c>
      <c r="F29" s="103" t="str">
        <f>IF(16&lt;=B3, D29-E29, "")</f>
        <v/>
      </c>
      <c r="G29" s="103" t="str">
        <f>IF(16&lt;=B3, C29-F29, "")</f>
        <v/>
      </c>
    </row>
    <row r="30" spans="1:7">
      <c r="A30" s="101" t="str">
        <f>IF(17&lt;=B3,17,"")</f>
        <v/>
      </c>
      <c r="B30" s="102" t="str">
        <f>IF(17&lt;=B3, B5+16*30, "")</f>
        <v/>
      </c>
      <c r="C30" s="103" t="str">
        <f>IF(17&lt;=B3, G29, "")</f>
        <v/>
      </c>
      <c r="D30" s="103" t="str">
        <f>IF(17&lt;=B3, IF(17=B3, B10, B9), "")</f>
        <v/>
      </c>
      <c r="E30" s="103" t="str">
        <f>IF(17&lt;=B3, C30*B7, "")</f>
        <v/>
      </c>
      <c r="F30" s="103" t="str">
        <f>IF(17&lt;=B3, D30-E30, "")</f>
        <v/>
      </c>
      <c r="G30" s="103" t="str">
        <f>IF(17&lt;=B3, C30-F30, "")</f>
        <v/>
      </c>
    </row>
    <row r="31" spans="1:7">
      <c r="A31" s="101" t="str">
        <f>IF(18&lt;=B3,18,"")</f>
        <v/>
      </c>
      <c r="B31" s="102" t="str">
        <f>IF(18&lt;=B3, B5+17*30, "")</f>
        <v/>
      </c>
      <c r="C31" s="103" t="str">
        <f>IF(18&lt;=B3, G30, "")</f>
        <v/>
      </c>
      <c r="D31" s="103" t="str">
        <f>IF(18&lt;=B3, IF(18=B3, B10, B9), "")</f>
        <v/>
      </c>
      <c r="E31" s="103" t="str">
        <f>IF(18&lt;=B3, C31*B7, "")</f>
        <v/>
      </c>
      <c r="F31" s="103" t="str">
        <f>IF(18&lt;=B3, D31-E31, "")</f>
        <v/>
      </c>
      <c r="G31" s="103" t="str">
        <f>IF(18&lt;=B3, C31-F31, "")</f>
        <v/>
      </c>
    </row>
    <row r="32" spans="1:7">
      <c r="A32" s="101" t="str">
        <f>IF(19&lt;=B3,19,"")</f>
        <v/>
      </c>
      <c r="B32" s="102" t="str">
        <f>IF(19&lt;=B3, B5+18*30, "")</f>
        <v/>
      </c>
      <c r="C32" s="103" t="str">
        <f>IF(19&lt;=B3, G31, "")</f>
        <v/>
      </c>
      <c r="D32" s="103" t="str">
        <f>IF(19&lt;=B3, IF(19=B3, B10, B9), "")</f>
        <v/>
      </c>
      <c r="E32" s="103" t="str">
        <f>IF(19&lt;=B3, C32*B7, "")</f>
        <v/>
      </c>
      <c r="F32" s="103" t="str">
        <f>IF(19&lt;=B3, D32-E32, "")</f>
        <v/>
      </c>
      <c r="G32" s="103" t="str">
        <f>IF(19&lt;=B3, C32-F32, "")</f>
        <v/>
      </c>
    </row>
    <row r="33" spans="1:7">
      <c r="A33" s="101" t="str">
        <f>IF(20&lt;=B3,20,"")</f>
        <v/>
      </c>
      <c r="B33" s="102" t="str">
        <f>IF(20&lt;=B3, B5+19*30, "")</f>
        <v/>
      </c>
      <c r="C33" s="103" t="str">
        <f>IF(20&lt;=B3, G32, "")</f>
        <v/>
      </c>
      <c r="D33" s="103" t="str">
        <f>IF(20&lt;=B3, IF(20=B3, B10, B9), "")</f>
        <v/>
      </c>
      <c r="E33" s="103" t="str">
        <f>IF(20&lt;=B3, C33*B7, "")</f>
        <v/>
      </c>
      <c r="F33" s="103" t="str">
        <f>IF(20&lt;=B3, D33-E33, "")</f>
        <v/>
      </c>
      <c r="G33" s="103" t="str">
        <f>IF(20&lt;=B3, C33-F33, "")</f>
        <v/>
      </c>
    </row>
    <row r="34" spans="1:7">
      <c r="A34" s="101" t="str">
        <f>IF(21&lt;=B3,21,"")</f>
        <v/>
      </c>
      <c r="B34" s="102" t="str">
        <f>IF(21&lt;=B3, B5+20*30, "")</f>
        <v/>
      </c>
      <c r="C34" s="103" t="str">
        <f>IF(21&lt;=B3, G33, "")</f>
        <v/>
      </c>
      <c r="D34" s="103" t="str">
        <f>IF(21&lt;=B3, IF(21=B3, B10, B9), "")</f>
        <v/>
      </c>
      <c r="E34" s="103" t="str">
        <f>IF(21&lt;=B3, C34*B7, "")</f>
        <v/>
      </c>
      <c r="F34" s="103" t="str">
        <f>IF(21&lt;=B3, D34-E34, "")</f>
        <v/>
      </c>
      <c r="G34" s="103" t="str">
        <f>IF(21&lt;=B3, C34-F34, "")</f>
        <v/>
      </c>
    </row>
    <row r="35" spans="1:7">
      <c r="A35" s="101" t="str">
        <f>IF(22&lt;=B3,22,"")</f>
        <v/>
      </c>
      <c r="B35" s="102" t="str">
        <f>IF(22&lt;=B3, B5+21*30, "")</f>
        <v/>
      </c>
      <c r="C35" s="103" t="str">
        <f>IF(22&lt;=B3, G34, "")</f>
        <v/>
      </c>
      <c r="D35" s="103" t="str">
        <f>IF(22&lt;=B3, IF(22=B3, B10, B9), "")</f>
        <v/>
      </c>
      <c r="E35" s="103" t="str">
        <f>IF(22&lt;=B3, C35*B7, "")</f>
        <v/>
      </c>
      <c r="F35" s="103" t="str">
        <f>IF(22&lt;=B3, D35-E35, "")</f>
        <v/>
      </c>
      <c r="G35" s="103" t="str">
        <f>IF(22&lt;=B3, C35-F35, "")</f>
        <v/>
      </c>
    </row>
    <row r="36" spans="1:7">
      <c r="A36" s="101" t="str">
        <f>IF(23&lt;=B3,23,"")</f>
        <v/>
      </c>
      <c r="B36" s="102" t="str">
        <f>IF(23&lt;=B3, B5+22*30, "")</f>
        <v/>
      </c>
      <c r="C36" s="103" t="str">
        <f>IF(23&lt;=B3, G35, "")</f>
        <v/>
      </c>
      <c r="D36" s="103" t="str">
        <f>IF(23&lt;=B3, IF(23=B3, B10, B9), "")</f>
        <v/>
      </c>
      <c r="E36" s="103" t="str">
        <f>IF(23&lt;=B3, C36*B7, "")</f>
        <v/>
      </c>
      <c r="F36" s="103" t="str">
        <f>IF(23&lt;=B3, D36-E36, "")</f>
        <v/>
      </c>
      <c r="G36" s="103" t="str">
        <f>IF(23&lt;=B3, C36-F36, "")</f>
        <v/>
      </c>
    </row>
    <row r="37" spans="1:7">
      <c r="A37" s="101" t="str">
        <f>IF(24&lt;=B3,24,"")</f>
        <v/>
      </c>
      <c r="B37" s="102" t="str">
        <f>IF(24&lt;=B3, B5+23*30, "")</f>
        <v/>
      </c>
      <c r="C37" s="103" t="str">
        <f>IF(24&lt;=B3, G36, "")</f>
        <v/>
      </c>
      <c r="D37" s="103" t="str">
        <f>IF(24&lt;=B3, IF(24=B3, B10, B9), "")</f>
        <v/>
      </c>
      <c r="E37" s="103" t="str">
        <f>IF(24&lt;=B3, C37*B7, "")</f>
        <v/>
      </c>
      <c r="F37" s="103" t="str">
        <f>IF(24&lt;=B3, D37-E37, "")</f>
        <v/>
      </c>
      <c r="G37" s="103" t="str">
        <f>IF(24&lt;=B3, C37-F37, "")</f>
        <v/>
      </c>
    </row>
    <row r="38" spans="1:7">
      <c r="A38" s="101" t="str">
        <f>IF(25&lt;=B3,25,"")</f>
        <v/>
      </c>
      <c r="B38" s="102" t="str">
        <f>IF(25&lt;=B3, B5+24*30, "")</f>
        <v/>
      </c>
      <c r="C38" s="103" t="str">
        <f>IF(25&lt;=B3, G37, "")</f>
        <v/>
      </c>
      <c r="D38" s="103" t="str">
        <f>IF(25&lt;=B3, IF(25=B3, B10, B9), "")</f>
        <v/>
      </c>
      <c r="E38" s="103" t="str">
        <f>IF(25&lt;=B3, C38*B7, "")</f>
        <v/>
      </c>
      <c r="F38" s="103" t="str">
        <f>IF(25&lt;=B3, D38-E38, "")</f>
        <v/>
      </c>
      <c r="G38" s="103" t="str">
        <f>IF(25&lt;=B3, C38-F38, "")</f>
        <v/>
      </c>
    </row>
    <row r="39" spans="1:7">
      <c r="A39" s="101" t="str">
        <f>IF(26&lt;=B3,26,"")</f>
        <v/>
      </c>
      <c r="B39" s="102" t="str">
        <f>IF(26&lt;=B3, B5+25*30, "")</f>
        <v/>
      </c>
      <c r="C39" s="103" t="str">
        <f>IF(26&lt;=B3, G38, "")</f>
        <v/>
      </c>
      <c r="D39" s="103" t="str">
        <f>IF(26&lt;=B3, IF(26=B3, B10, B9), "")</f>
        <v/>
      </c>
      <c r="E39" s="103" t="str">
        <f>IF(26&lt;=B3, C39*B7, "")</f>
        <v/>
      </c>
      <c r="F39" s="103" t="str">
        <f>IF(26&lt;=B3, D39-E39, "")</f>
        <v/>
      </c>
      <c r="G39" s="103" t="str">
        <f>IF(26&lt;=B3, C39-F39, "")</f>
        <v/>
      </c>
    </row>
    <row r="40" spans="1:7">
      <c r="A40" s="101" t="str">
        <f>IF(27&lt;=B3,27,"")</f>
        <v/>
      </c>
      <c r="B40" s="102" t="str">
        <f>IF(27&lt;=B3, B5+26*30, "")</f>
        <v/>
      </c>
      <c r="C40" s="103" t="str">
        <f>IF(27&lt;=B3, G39, "")</f>
        <v/>
      </c>
      <c r="D40" s="103" t="str">
        <f>IF(27&lt;=B3, IF(27=B3, B10, B9), "")</f>
        <v/>
      </c>
      <c r="E40" s="103" t="str">
        <f>IF(27&lt;=B3, C40*B7, "")</f>
        <v/>
      </c>
      <c r="F40" s="103" t="str">
        <f>IF(27&lt;=B3, D40-E40, "")</f>
        <v/>
      </c>
      <c r="G40" s="103" t="str">
        <f>IF(27&lt;=B3, C40-F40, "")</f>
        <v/>
      </c>
    </row>
    <row r="41" spans="1:7">
      <c r="A41" s="101" t="str">
        <f>IF(28&lt;=B3,28,"")</f>
        <v/>
      </c>
      <c r="B41" s="102" t="str">
        <f>IF(28&lt;=B3, B5+27*30, "")</f>
        <v/>
      </c>
      <c r="C41" s="103" t="str">
        <f>IF(28&lt;=B3, G40, "")</f>
        <v/>
      </c>
      <c r="D41" s="103" t="str">
        <f>IF(28&lt;=B3, IF(28=B3, B10, B9), "")</f>
        <v/>
      </c>
      <c r="E41" s="103" t="str">
        <f>IF(28&lt;=B3, C41*B7, "")</f>
        <v/>
      </c>
      <c r="F41" s="103" t="str">
        <f>IF(28&lt;=B3, D41-E41, "")</f>
        <v/>
      </c>
      <c r="G41" s="103" t="str">
        <f>IF(28&lt;=B3, C41-F41, "")</f>
        <v/>
      </c>
    </row>
    <row r="42" spans="1:7">
      <c r="A42" s="101" t="str">
        <f>IF(29&lt;=B3,29,"")</f>
        <v/>
      </c>
      <c r="B42" s="102" t="str">
        <f>IF(29&lt;=B3, B5+28*30, "")</f>
        <v/>
      </c>
      <c r="C42" s="103" t="str">
        <f>IF(29&lt;=B3, G41, "")</f>
        <v/>
      </c>
      <c r="D42" s="103" t="str">
        <f>IF(29&lt;=B3, IF(29=B3, B10, B9), "")</f>
        <v/>
      </c>
      <c r="E42" s="103" t="str">
        <f>IF(29&lt;=B3, C42*B7, "")</f>
        <v/>
      </c>
      <c r="F42" s="103" t="str">
        <f>IF(29&lt;=B3, D42-E42, "")</f>
        <v/>
      </c>
      <c r="G42" s="103" t="str">
        <f>IF(29&lt;=B3, C42-F42, "")</f>
        <v/>
      </c>
    </row>
    <row r="43" spans="1:7">
      <c r="A43" s="101" t="str">
        <f>IF(30&lt;=B3,30,"")</f>
        <v/>
      </c>
      <c r="B43" s="102" t="str">
        <f>IF(30&lt;=B3, B5+29*30, "")</f>
        <v/>
      </c>
      <c r="C43" s="103" t="str">
        <f>IF(30&lt;=B3, G42, "")</f>
        <v/>
      </c>
      <c r="D43" s="103" t="str">
        <f>IF(30&lt;=B3, IF(30=B3, B10, B9), "")</f>
        <v/>
      </c>
      <c r="E43" s="103" t="str">
        <f>IF(30&lt;=B3, C43*B7, "")</f>
        <v/>
      </c>
      <c r="F43" s="103" t="str">
        <f>IF(30&lt;=B3, D43-E43, "")</f>
        <v/>
      </c>
      <c r="G43" s="103" t="str">
        <f>IF(30&lt;=B3, C43-F43, "")</f>
        <v/>
      </c>
    </row>
    <row r="44" spans="1:7">
      <c r="A44" s="101" t="str">
        <f>IF(31&lt;=B3,31,"")</f>
        <v/>
      </c>
      <c r="B44" s="102" t="str">
        <f>IF(31&lt;=B3, B5+30*30, "")</f>
        <v/>
      </c>
      <c r="C44" s="103" t="str">
        <f>IF(31&lt;=B3, G43, "")</f>
        <v/>
      </c>
      <c r="D44" s="103" t="str">
        <f>IF(31&lt;=B3, IF(31=B3, B10, B9), "")</f>
        <v/>
      </c>
      <c r="E44" s="103" t="str">
        <f>IF(31&lt;=B3, C44*B7, "")</f>
        <v/>
      </c>
      <c r="F44" s="103" t="str">
        <f>IF(31&lt;=B3, D44-E44, "")</f>
        <v/>
      </c>
      <c r="G44" s="103" t="str">
        <f>IF(31&lt;=B3, C44-F44, "")</f>
        <v/>
      </c>
    </row>
    <row r="45" spans="1:7">
      <c r="A45" s="101" t="str">
        <f>IF(32&lt;=B3,32,"")</f>
        <v/>
      </c>
      <c r="B45" s="102" t="str">
        <f>IF(32&lt;=B3, B5+31*30, "")</f>
        <v/>
      </c>
      <c r="C45" s="103" t="str">
        <f>IF(32&lt;=B3, G44, "")</f>
        <v/>
      </c>
      <c r="D45" s="103" t="str">
        <f>IF(32&lt;=B3, IF(32=B3, B10, B9), "")</f>
        <v/>
      </c>
      <c r="E45" s="103" t="str">
        <f>IF(32&lt;=B3, C45*B7, "")</f>
        <v/>
      </c>
      <c r="F45" s="103" t="str">
        <f>IF(32&lt;=B3, D45-E45, "")</f>
        <v/>
      </c>
      <c r="G45" s="103" t="str">
        <f>IF(32&lt;=B3, C45-F45, "")</f>
        <v/>
      </c>
    </row>
    <row r="46" spans="1:7">
      <c r="A46" s="101" t="str">
        <f>IF(33&lt;=B3,33,"")</f>
        <v/>
      </c>
      <c r="B46" s="102" t="str">
        <f>IF(33&lt;=B3, B5+32*30, "")</f>
        <v/>
      </c>
      <c r="C46" s="103" t="str">
        <f>IF(33&lt;=B3, G45, "")</f>
        <v/>
      </c>
      <c r="D46" s="103" t="str">
        <f>IF(33&lt;=B3, IF(33=B3, B10, B9), "")</f>
        <v/>
      </c>
      <c r="E46" s="103" t="str">
        <f>IF(33&lt;=B3, C46*B7, "")</f>
        <v/>
      </c>
      <c r="F46" s="103" t="str">
        <f>IF(33&lt;=B3, D46-E46, "")</f>
        <v/>
      </c>
      <c r="G46" s="103" t="str">
        <f>IF(33&lt;=B3, C46-F46, "")</f>
        <v/>
      </c>
    </row>
    <row r="47" spans="1:7">
      <c r="A47" s="101" t="str">
        <f>IF(34&lt;=B3,34,"")</f>
        <v/>
      </c>
      <c r="B47" s="102" t="str">
        <f>IF(34&lt;=B3, B5+33*30, "")</f>
        <v/>
      </c>
      <c r="C47" s="103" t="str">
        <f>IF(34&lt;=B3, G46, "")</f>
        <v/>
      </c>
      <c r="D47" s="103" t="str">
        <f>IF(34&lt;=B3, IF(34=B3, B10, B9), "")</f>
        <v/>
      </c>
      <c r="E47" s="103" t="str">
        <f>IF(34&lt;=B3, C47*B7, "")</f>
        <v/>
      </c>
      <c r="F47" s="103" t="str">
        <f>IF(34&lt;=B3, D47-E47, "")</f>
        <v/>
      </c>
      <c r="G47" s="103" t="str">
        <f>IF(34&lt;=B3, C47-F47, "")</f>
        <v/>
      </c>
    </row>
    <row r="48" spans="1:7">
      <c r="A48" s="101" t="str">
        <f>IF(35&lt;=B3,35,"")</f>
        <v/>
      </c>
      <c r="B48" s="102" t="str">
        <f>IF(35&lt;=B3, B5+34*30, "")</f>
        <v/>
      </c>
      <c r="C48" s="103" t="str">
        <f>IF(35&lt;=B3, G47, "")</f>
        <v/>
      </c>
      <c r="D48" s="103" t="str">
        <f>IF(35&lt;=B3, IF(35=B3, B10, B9), "")</f>
        <v/>
      </c>
      <c r="E48" s="103" t="str">
        <f>IF(35&lt;=B3, C48*B7, "")</f>
        <v/>
      </c>
      <c r="F48" s="103" t="str">
        <f>IF(35&lt;=B3, D48-E48, "")</f>
        <v/>
      </c>
      <c r="G48" s="103" t="str">
        <f>IF(35&lt;=B3, C48-F48, "")</f>
        <v/>
      </c>
    </row>
    <row r="49" spans="1:7">
      <c r="A49" s="101" t="str">
        <f>IF(36&lt;=B3,36,"")</f>
        <v/>
      </c>
      <c r="B49" s="102" t="str">
        <f>IF(36&lt;=B3, B5+35*30, "")</f>
        <v/>
      </c>
      <c r="C49" s="103" t="str">
        <f>IF(36&lt;=B3, G48, "")</f>
        <v/>
      </c>
      <c r="D49" s="103" t="str">
        <f>IF(36&lt;=B3, IF(36=B3, B10, B9), "")</f>
        <v/>
      </c>
      <c r="E49" s="103" t="str">
        <f>IF(36&lt;=B3, C49*B7, "")</f>
        <v/>
      </c>
      <c r="F49" s="103" t="str">
        <f>IF(36&lt;=B3, D49-E49, "")</f>
        <v/>
      </c>
      <c r="G49" s="103" t="str">
        <f>IF(36&lt;=B3, C49-F49, "")</f>
        <v/>
      </c>
    </row>
    <row r="50" spans="1:7">
      <c r="A50" s="101" t="str">
        <f>IF(37&lt;=B3,37,"")</f>
        <v/>
      </c>
      <c r="B50" s="102" t="str">
        <f>IF(37&lt;=B3, B5+36*30, "")</f>
        <v/>
      </c>
      <c r="C50" s="103" t="str">
        <f>IF(37&lt;=B3, G49, "")</f>
        <v/>
      </c>
      <c r="D50" s="103" t="str">
        <f>IF(37&lt;=B3, IF(37=B3, B10, B9), "")</f>
        <v/>
      </c>
      <c r="E50" s="103" t="str">
        <f>IF(37&lt;=B3, C50*B7, "")</f>
        <v/>
      </c>
      <c r="F50" s="103" t="str">
        <f>IF(37&lt;=B3, D50-E50, "")</f>
        <v/>
      </c>
      <c r="G50" s="103" t="str">
        <f>IF(37&lt;=B3, C50-F50, "")</f>
        <v/>
      </c>
    </row>
    <row r="51" spans="1:7">
      <c r="A51" s="101" t="str">
        <f>IF(38&lt;=B3,38,"")</f>
        <v/>
      </c>
      <c r="B51" s="102" t="str">
        <f>IF(38&lt;=B3, B5+37*30, "")</f>
        <v/>
      </c>
      <c r="C51" s="103" t="str">
        <f>IF(38&lt;=B3, G50, "")</f>
        <v/>
      </c>
      <c r="D51" s="103" t="str">
        <f>IF(38&lt;=B3, IF(38=B3, B10, B9), "")</f>
        <v/>
      </c>
      <c r="E51" s="103" t="str">
        <f>IF(38&lt;=B3, C51*B7, "")</f>
        <v/>
      </c>
      <c r="F51" s="103" t="str">
        <f>IF(38&lt;=B3, D51-E51, "")</f>
        <v/>
      </c>
      <c r="G51" s="103" t="str">
        <f>IF(38&lt;=B3, C51-F51, "")</f>
        <v/>
      </c>
    </row>
    <row r="52" spans="1:7">
      <c r="A52" s="101" t="str">
        <f>IF(39&lt;=B3,39,"")</f>
        <v/>
      </c>
      <c r="B52" s="102" t="str">
        <f>IF(39&lt;=B3, B5+38*30, "")</f>
        <v/>
      </c>
      <c r="C52" s="103" t="str">
        <f>IF(39&lt;=B3, G51, "")</f>
        <v/>
      </c>
      <c r="D52" s="103" t="str">
        <f>IF(39&lt;=B3, IF(39=B3, B10, B9), "")</f>
        <v/>
      </c>
      <c r="E52" s="103" t="str">
        <f>IF(39&lt;=B3, C52*B7, "")</f>
        <v/>
      </c>
      <c r="F52" s="103" t="str">
        <f>IF(39&lt;=B3, D52-E52, "")</f>
        <v/>
      </c>
      <c r="G52" s="103" t="str">
        <f>IF(39&lt;=B3, C52-F52, "")</f>
        <v/>
      </c>
    </row>
    <row r="53" spans="1:7">
      <c r="A53" s="101" t="str">
        <f>IF(40&lt;=B3,40,"")</f>
        <v/>
      </c>
      <c r="B53" s="102" t="str">
        <f>IF(40&lt;=B3, B5+39*30, "")</f>
        <v/>
      </c>
      <c r="C53" s="103" t="str">
        <f>IF(40&lt;=B3, G52, "")</f>
        <v/>
      </c>
      <c r="D53" s="103" t="str">
        <f>IF(40&lt;=B3, IF(40=B3, B10, B9), "")</f>
        <v/>
      </c>
      <c r="E53" s="103" t="str">
        <f>IF(40&lt;=B3, C53*B7, "")</f>
        <v/>
      </c>
      <c r="F53" s="103" t="str">
        <f>IF(40&lt;=B3, D53-E53, "")</f>
        <v/>
      </c>
      <c r="G53" s="103" t="str">
        <f>IF(40&lt;=B3, C53-F53, "")</f>
        <v/>
      </c>
    </row>
    <row r="54" spans="1:7">
      <c r="A54" s="101" t="str">
        <f>IF(41&lt;=B3,41,"")</f>
        <v/>
      </c>
      <c r="B54" s="102" t="str">
        <f>IF(41&lt;=B3, B5+40*30, "")</f>
        <v/>
      </c>
      <c r="C54" s="103" t="str">
        <f>IF(41&lt;=B3, G53, "")</f>
        <v/>
      </c>
      <c r="D54" s="103" t="str">
        <f>IF(41&lt;=B3, IF(41=B3, B10, B9), "")</f>
        <v/>
      </c>
      <c r="E54" s="103" t="str">
        <f>IF(41&lt;=B3, C54*B7, "")</f>
        <v/>
      </c>
      <c r="F54" s="103" t="str">
        <f>IF(41&lt;=B3, D54-E54, "")</f>
        <v/>
      </c>
      <c r="G54" s="103" t="str">
        <f>IF(41&lt;=B3, C54-F54, "")</f>
        <v/>
      </c>
    </row>
    <row r="55" spans="1:7">
      <c r="A55" s="101" t="str">
        <f>IF(42&lt;=B3,42,"")</f>
        <v/>
      </c>
      <c r="B55" s="102" t="str">
        <f>IF(42&lt;=B3, B5+41*30, "")</f>
        <v/>
      </c>
      <c r="C55" s="103" t="str">
        <f>IF(42&lt;=B3, G54, "")</f>
        <v/>
      </c>
      <c r="D55" s="103" t="str">
        <f>IF(42&lt;=B3, IF(42=B3, B10, B9), "")</f>
        <v/>
      </c>
      <c r="E55" s="103" t="str">
        <f>IF(42&lt;=B3, C55*B7, "")</f>
        <v/>
      </c>
      <c r="F55" s="103" t="str">
        <f>IF(42&lt;=B3, D55-E55, "")</f>
        <v/>
      </c>
      <c r="G55" s="103" t="str">
        <f>IF(42&lt;=B3, C55-F55, "")</f>
        <v/>
      </c>
    </row>
    <row r="56" spans="1:7">
      <c r="A56" s="101" t="str">
        <f>IF(43&lt;=B3,43,"")</f>
        <v/>
      </c>
      <c r="B56" s="102" t="str">
        <f>IF(43&lt;=B3, B5+42*30, "")</f>
        <v/>
      </c>
      <c r="C56" s="103" t="str">
        <f>IF(43&lt;=B3, G55, "")</f>
        <v/>
      </c>
      <c r="D56" s="103" t="str">
        <f>IF(43&lt;=B3, IF(43=B3, B10, B9), "")</f>
        <v/>
      </c>
      <c r="E56" s="103" t="str">
        <f>IF(43&lt;=B3, C56*B7, "")</f>
        <v/>
      </c>
      <c r="F56" s="103" t="str">
        <f>IF(43&lt;=B3, D56-E56, "")</f>
        <v/>
      </c>
      <c r="G56" s="103" t="str">
        <f>IF(43&lt;=B3, C56-F56, "")</f>
        <v/>
      </c>
    </row>
    <row r="57" spans="1:7">
      <c r="A57" s="101" t="str">
        <f>IF(44&lt;=B3,44,"")</f>
        <v/>
      </c>
      <c r="B57" s="102" t="str">
        <f>IF(44&lt;=B3, B5+43*30, "")</f>
        <v/>
      </c>
      <c r="C57" s="103" t="str">
        <f>IF(44&lt;=B3, G56, "")</f>
        <v/>
      </c>
      <c r="D57" s="103" t="str">
        <f>IF(44&lt;=B3, IF(44=B3, B10, B9), "")</f>
        <v/>
      </c>
      <c r="E57" s="103" t="str">
        <f>IF(44&lt;=B3, C57*B7, "")</f>
        <v/>
      </c>
      <c r="F57" s="103" t="str">
        <f>IF(44&lt;=B3, D57-E57, "")</f>
        <v/>
      </c>
      <c r="G57" s="103" t="str">
        <f>IF(44&lt;=B3, C57-F57, "")</f>
        <v/>
      </c>
    </row>
    <row r="58" spans="1:7">
      <c r="A58" s="101" t="str">
        <f>IF(45&lt;=B3,45,"")</f>
        <v/>
      </c>
      <c r="B58" s="102" t="str">
        <f>IF(45&lt;=B3, B5+44*30, "")</f>
        <v/>
      </c>
      <c r="C58" s="103" t="str">
        <f>IF(45&lt;=B3, G57, "")</f>
        <v/>
      </c>
      <c r="D58" s="103" t="str">
        <f>IF(45&lt;=B3, IF(45=B3, B10, B9), "")</f>
        <v/>
      </c>
      <c r="E58" s="103" t="str">
        <f>IF(45&lt;=B3, C58*B7, "")</f>
        <v/>
      </c>
      <c r="F58" s="103" t="str">
        <f>IF(45&lt;=B3, D58-E58, "")</f>
        <v/>
      </c>
      <c r="G58" s="103" t="str">
        <f>IF(45&lt;=B3, C58-F58, "")</f>
        <v/>
      </c>
    </row>
    <row r="59" spans="1:7">
      <c r="A59" s="101" t="str">
        <f>IF(46&lt;=B3,46,"")</f>
        <v/>
      </c>
      <c r="B59" s="102" t="str">
        <f>IF(46&lt;=B3, B5+45*30, "")</f>
        <v/>
      </c>
      <c r="C59" s="103" t="str">
        <f>IF(46&lt;=B3, G58, "")</f>
        <v/>
      </c>
      <c r="D59" s="103" t="str">
        <f>IF(46&lt;=B3, IF(46=B3, B10, B9), "")</f>
        <v/>
      </c>
      <c r="E59" s="103" t="str">
        <f>IF(46&lt;=B3, C59*B7, "")</f>
        <v/>
      </c>
      <c r="F59" s="103" t="str">
        <f>IF(46&lt;=B3, D59-E59, "")</f>
        <v/>
      </c>
      <c r="G59" s="103" t="str">
        <f>IF(46&lt;=B3, C59-F59, "")</f>
        <v/>
      </c>
    </row>
    <row r="60" spans="1:7">
      <c r="A60" s="101" t="str">
        <f>IF(47&lt;=B3,47,"")</f>
        <v/>
      </c>
      <c r="B60" s="102" t="str">
        <f>IF(47&lt;=B3, B5+46*30, "")</f>
        <v/>
      </c>
      <c r="C60" s="103" t="str">
        <f>IF(47&lt;=B3, G59, "")</f>
        <v/>
      </c>
      <c r="D60" s="103" t="str">
        <f>IF(47&lt;=B3, IF(47=B3, B10, B9), "")</f>
        <v/>
      </c>
      <c r="E60" s="103" t="str">
        <f>IF(47&lt;=B3, C60*B7, "")</f>
        <v/>
      </c>
      <c r="F60" s="103" t="str">
        <f>IF(47&lt;=B3, D60-E60, "")</f>
        <v/>
      </c>
      <c r="G60" s="103" t="str">
        <f>IF(47&lt;=B3, C60-F60, "")</f>
        <v/>
      </c>
    </row>
    <row r="61" spans="1:7">
      <c r="A61" s="101" t="str">
        <f>IF(48&lt;=B3,48,"")</f>
        <v/>
      </c>
      <c r="B61" s="102" t="str">
        <f>IF(48&lt;=B3, B5+47*30, "")</f>
        <v/>
      </c>
      <c r="C61" s="103" t="str">
        <f>IF(48&lt;=B3, G60, "")</f>
        <v/>
      </c>
      <c r="D61" s="103" t="str">
        <f>IF(48&lt;=B3, IF(48=B3, B10, B9), "")</f>
        <v/>
      </c>
      <c r="E61" s="103" t="str">
        <f>IF(48&lt;=B3, C61*B7, "")</f>
        <v/>
      </c>
      <c r="F61" s="103" t="str">
        <f>IF(48&lt;=B3, D61-E61, "")</f>
        <v/>
      </c>
      <c r="G61" s="103" t="str">
        <f>IF(48&lt;=B3, C61-F61, "")</f>
        <v/>
      </c>
    </row>
    <row r="62" spans="1:7">
      <c r="A62" s="101" t="str">
        <f>IF(49&lt;=B3,49,"")</f>
        <v/>
      </c>
      <c r="B62" s="102" t="str">
        <f>IF(49&lt;=B3, B5+48*30, "")</f>
        <v/>
      </c>
      <c r="C62" s="103" t="str">
        <f>IF(49&lt;=B3, G61, "")</f>
        <v/>
      </c>
      <c r="D62" s="103" t="str">
        <f>IF(49&lt;=B3, IF(49=B3, B10, B9), "")</f>
        <v/>
      </c>
      <c r="E62" s="103" t="str">
        <f>IF(49&lt;=B3, C62*B7, "")</f>
        <v/>
      </c>
      <c r="F62" s="103" t="str">
        <f>IF(49&lt;=B3, D62-E62, "")</f>
        <v/>
      </c>
      <c r="G62" s="103" t="str">
        <f>IF(49&lt;=B3, C62-F62, "")</f>
        <v/>
      </c>
    </row>
    <row r="63" spans="1:7">
      <c r="A63" s="101" t="str">
        <f>IF(50&lt;=B3,50,"")</f>
        <v/>
      </c>
      <c r="B63" s="102" t="str">
        <f>IF(50&lt;=B3, B5+49*30, "")</f>
        <v/>
      </c>
      <c r="C63" s="103" t="str">
        <f>IF(50&lt;=B3, G62, "")</f>
        <v/>
      </c>
      <c r="D63" s="103" t="str">
        <f>IF(50&lt;=B3, IF(50=B3, B10, B9), "")</f>
        <v/>
      </c>
      <c r="E63" s="103" t="str">
        <f>IF(50&lt;=B3, C63*B7, "")</f>
        <v/>
      </c>
      <c r="F63" s="103" t="str">
        <f>IF(50&lt;=B3, D63-E63, "")</f>
        <v/>
      </c>
      <c r="G63" s="103" t="str">
        <f>IF(50&lt;=B3, C63-F63, "")</f>
        <v/>
      </c>
    </row>
    <row r="64" spans="1:7">
      <c r="A64" s="101" t="str">
        <f>IF(51&lt;=B3,51,"")</f>
        <v/>
      </c>
      <c r="B64" s="102" t="str">
        <f>IF(51&lt;=B3, B5+50*30, "")</f>
        <v/>
      </c>
      <c r="C64" s="103" t="str">
        <f>IF(51&lt;=B3, G63, "")</f>
        <v/>
      </c>
      <c r="D64" s="103" t="str">
        <f>IF(51&lt;=B3, IF(51=B3, B10, B9), "")</f>
        <v/>
      </c>
      <c r="E64" s="103" t="str">
        <f>IF(51&lt;=B3, C64*B7, "")</f>
        <v/>
      </c>
      <c r="F64" s="103" t="str">
        <f>IF(51&lt;=B3, D64-E64, "")</f>
        <v/>
      </c>
      <c r="G64" s="103" t="str">
        <f>IF(51&lt;=B3, C64-F64, "")</f>
        <v/>
      </c>
    </row>
    <row r="65" spans="1:7">
      <c r="A65" s="101" t="str">
        <f>IF(52&lt;=B3,52,"")</f>
        <v/>
      </c>
      <c r="B65" s="102" t="str">
        <f>IF(52&lt;=B3, B5+51*30, "")</f>
        <v/>
      </c>
      <c r="C65" s="103" t="str">
        <f>IF(52&lt;=B3, G64, "")</f>
        <v/>
      </c>
      <c r="D65" s="103" t="str">
        <f>IF(52&lt;=B3, IF(52=B3, B10, B9), "")</f>
        <v/>
      </c>
      <c r="E65" s="103" t="str">
        <f>IF(52&lt;=B3, C65*B7, "")</f>
        <v/>
      </c>
      <c r="F65" s="103" t="str">
        <f>IF(52&lt;=B3, D65-E65, "")</f>
        <v/>
      </c>
      <c r="G65" s="103" t="str">
        <f>IF(52&lt;=B3, C65-F65, "")</f>
        <v/>
      </c>
    </row>
    <row r="66" spans="1:7">
      <c r="A66" s="101" t="str">
        <f>IF(53&lt;=B3,53,"")</f>
        <v/>
      </c>
      <c r="B66" s="102" t="str">
        <f>IF(53&lt;=B3, B5+52*30, "")</f>
        <v/>
      </c>
      <c r="C66" s="103" t="str">
        <f>IF(53&lt;=B3, G65, "")</f>
        <v/>
      </c>
      <c r="D66" s="103" t="str">
        <f>IF(53&lt;=B3, IF(53=B3, B10, B9), "")</f>
        <v/>
      </c>
      <c r="E66" s="103" t="str">
        <f>IF(53&lt;=B3, C66*B7, "")</f>
        <v/>
      </c>
      <c r="F66" s="103" t="str">
        <f>IF(53&lt;=B3, D66-E66, "")</f>
        <v/>
      </c>
      <c r="G66" s="103" t="str">
        <f>IF(53&lt;=B3, C66-F66, "")</f>
        <v/>
      </c>
    </row>
    <row r="67" spans="1:7">
      <c r="A67" s="101" t="str">
        <f>IF(54&lt;=B3,54,"")</f>
        <v/>
      </c>
      <c r="B67" s="102" t="str">
        <f>IF(54&lt;=B3, B5+53*30, "")</f>
        <v/>
      </c>
      <c r="C67" s="103" t="str">
        <f>IF(54&lt;=B3, G66, "")</f>
        <v/>
      </c>
      <c r="D67" s="103" t="str">
        <f>IF(54&lt;=B3, IF(54=B3, B10, B9), "")</f>
        <v/>
      </c>
      <c r="E67" s="103" t="str">
        <f>IF(54&lt;=B3, C67*B7, "")</f>
        <v/>
      </c>
      <c r="F67" s="103" t="str">
        <f>IF(54&lt;=B3, D67-E67, "")</f>
        <v/>
      </c>
      <c r="G67" s="103" t="str">
        <f>IF(54&lt;=B3, C67-F67, "")</f>
        <v/>
      </c>
    </row>
    <row r="68" spans="1:7">
      <c r="A68" s="101" t="str">
        <f>IF(55&lt;=B3,55,"")</f>
        <v/>
      </c>
      <c r="B68" s="102" t="str">
        <f>IF(55&lt;=B3, B5+54*30, "")</f>
        <v/>
      </c>
      <c r="C68" s="103" t="str">
        <f>IF(55&lt;=B3, G67, "")</f>
        <v/>
      </c>
      <c r="D68" s="103" t="str">
        <f>IF(55&lt;=B3, IF(55=B3, B10, B9), "")</f>
        <v/>
      </c>
      <c r="E68" s="103" t="str">
        <f>IF(55&lt;=B3, C68*B7, "")</f>
        <v/>
      </c>
      <c r="F68" s="103" t="str">
        <f>IF(55&lt;=B3, D68-E68, "")</f>
        <v/>
      </c>
      <c r="G68" s="103" t="str">
        <f>IF(55&lt;=B3, C68-F68, "")</f>
        <v/>
      </c>
    </row>
    <row r="69" spans="1:7">
      <c r="A69" s="101" t="str">
        <f>IF(56&lt;=B3,56,"")</f>
        <v/>
      </c>
      <c r="B69" s="102" t="str">
        <f>IF(56&lt;=B3, B5+55*30, "")</f>
        <v/>
      </c>
      <c r="C69" s="103" t="str">
        <f>IF(56&lt;=B3, G68, "")</f>
        <v/>
      </c>
      <c r="D69" s="103" t="str">
        <f>IF(56&lt;=B3, IF(56=B3, B10, B9), "")</f>
        <v/>
      </c>
      <c r="E69" s="103" t="str">
        <f>IF(56&lt;=B3, C69*B7, "")</f>
        <v/>
      </c>
      <c r="F69" s="103" t="str">
        <f>IF(56&lt;=B3, D69-E69, "")</f>
        <v/>
      </c>
      <c r="G69" s="103" t="str">
        <f>IF(56&lt;=B3, C69-F69, "")</f>
        <v/>
      </c>
    </row>
    <row r="70" spans="1:7">
      <c r="A70" s="101" t="str">
        <f>IF(57&lt;=B3,57,"")</f>
        <v/>
      </c>
      <c r="B70" s="102" t="str">
        <f>IF(57&lt;=B3, B5+56*30, "")</f>
        <v/>
      </c>
      <c r="C70" s="103" t="str">
        <f>IF(57&lt;=B3, G69, "")</f>
        <v/>
      </c>
      <c r="D70" s="103" t="str">
        <f>IF(57&lt;=B3, IF(57=B3, B10, B9), "")</f>
        <v/>
      </c>
      <c r="E70" s="103" t="str">
        <f>IF(57&lt;=B3, C70*B7, "")</f>
        <v/>
      </c>
      <c r="F70" s="103" t="str">
        <f>IF(57&lt;=B3, D70-E70, "")</f>
        <v/>
      </c>
      <c r="G70" s="103" t="str">
        <f>IF(57&lt;=B3, C70-F70, "")</f>
        <v/>
      </c>
    </row>
    <row r="71" spans="1:7">
      <c r="A71" s="101" t="str">
        <f>IF(58&lt;=B3,58,"")</f>
        <v/>
      </c>
      <c r="B71" s="102" t="str">
        <f>IF(58&lt;=B3, B5+57*30, "")</f>
        <v/>
      </c>
      <c r="C71" s="103" t="str">
        <f>IF(58&lt;=B3, G70, "")</f>
        <v/>
      </c>
      <c r="D71" s="103" t="str">
        <f>IF(58&lt;=B3, IF(58=B3, B10, B9), "")</f>
        <v/>
      </c>
      <c r="E71" s="103" t="str">
        <f>IF(58&lt;=B3, C71*B7, "")</f>
        <v/>
      </c>
      <c r="F71" s="103" t="str">
        <f>IF(58&lt;=B3, D71-E71, "")</f>
        <v/>
      </c>
      <c r="G71" s="103" t="str">
        <f>IF(58&lt;=B3, C71-F71, "")</f>
        <v/>
      </c>
    </row>
    <row r="72" spans="1:7">
      <c r="A72" s="101" t="str">
        <f>IF(59&lt;=B3,59,"")</f>
        <v/>
      </c>
      <c r="B72" s="102" t="str">
        <f>IF(59&lt;=B3, B5+58*30, "")</f>
        <v/>
      </c>
      <c r="C72" s="103" t="str">
        <f>IF(59&lt;=B3, G71, "")</f>
        <v/>
      </c>
      <c r="D72" s="103" t="str">
        <f>IF(59&lt;=B3, IF(59=B3, B10, B9), "")</f>
        <v/>
      </c>
      <c r="E72" s="103" t="str">
        <f>IF(59&lt;=B3, C72*B7, "")</f>
        <v/>
      </c>
      <c r="F72" s="103" t="str">
        <f>IF(59&lt;=B3, D72-E72, "")</f>
        <v/>
      </c>
      <c r="G72" s="103" t="str">
        <f>IF(59&lt;=B3, C72-F72, "")</f>
        <v/>
      </c>
    </row>
    <row r="73" spans="1:7">
      <c r="A73" s="101" t="str">
        <f>IF(60&lt;=B3,60,"")</f>
        <v/>
      </c>
      <c r="B73" s="102" t="str">
        <f>IF(60&lt;=B3, B5+59*30, "")</f>
        <v/>
      </c>
      <c r="C73" s="103" t="str">
        <f>IF(60&lt;=B3, G72, "")</f>
        <v/>
      </c>
      <c r="D73" s="103" t="str">
        <f>IF(60&lt;=B3, IF(60=B3, B10, B9), "")</f>
        <v/>
      </c>
      <c r="E73" s="103" t="str">
        <f>IF(60&lt;=B3, C73*B7, "")</f>
        <v/>
      </c>
      <c r="F73" s="103" t="str">
        <f>IF(60&lt;=B3, D73-E73, "")</f>
        <v/>
      </c>
      <c r="G73" s="103" t="str">
        <f>IF(60&lt;=B3, C73-F73, "")</f>
        <v/>
      </c>
    </row>
    <row r="74" spans="1:7">
      <c r="A74" s="101" t="str">
        <f>IF(61&lt;=B3,61,"")</f>
        <v/>
      </c>
      <c r="B74" s="102" t="str">
        <f>IF(61&lt;=B3, B5+60*30, "")</f>
        <v/>
      </c>
      <c r="C74" s="103" t="str">
        <f>IF(61&lt;=B3, G73, "")</f>
        <v/>
      </c>
      <c r="D74" s="103" t="str">
        <f>IF(61&lt;=B3, IF(61=B3, B10, B9), "")</f>
        <v/>
      </c>
      <c r="E74" s="103" t="str">
        <f>IF(61&lt;=B3, C74*B7, "")</f>
        <v/>
      </c>
      <c r="F74" s="103" t="str">
        <f>IF(61&lt;=B3, D74-E74, "")</f>
        <v/>
      </c>
      <c r="G74" s="103" t="str">
        <f>IF(61&lt;=B3, C74-F74, "")</f>
        <v/>
      </c>
    </row>
    <row r="75" spans="1:7">
      <c r="A75" s="101" t="str">
        <f>IF(62&lt;=B3,62,"")</f>
        <v/>
      </c>
      <c r="B75" s="102" t="str">
        <f>IF(62&lt;=B3, B5+61*30, "")</f>
        <v/>
      </c>
      <c r="C75" s="103" t="str">
        <f>IF(62&lt;=B3, G74, "")</f>
        <v/>
      </c>
      <c r="D75" s="103" t="str">
        <f>IF(62&lt;=B3, IF(62=B3, B10, B9), "")</f>
        <v/>
      </c>
      <c r="E75" s="103" t="str">
        <f>IF(62&lt;=B3, C75*B7, "")</f>
        <v/>
      </c>
      <c r="F75" s="103" t="str">
        <f>IF(62&lt;=B3, D75-E75, "")</f>
        <v/>
      </c>
      <c r="G75" s="103" t="str">
        <f>IF(62&lt;=B3, C75-F75, "")</f>
        <v/>
      </c>
    </row>
    <row r="76" spans="1:7">
      <c r="A76" s="101" t="str">
        <f>IF(63&lt;=B3,63,"")</f>
        <v/>
      </c>
      <c r="B76" s="102" t="str">
        <f>IF(63&lt;=B3, B5+62*30, "")</f>
        <v/>
      </c>
      <c r="C76" s="103" t="str">
        <f>IF(63&lt;=B3, G75, "")</f>
        <v/>
      </c>
      <c r="D76" s="103" t="str">
        <f>IF(63&lt;=B3, IF(63=B3, B10, B9), "")</f>
        <v/>
      </c>
      <c r="E76" s="103" t="str">
        <f>IF(63&lt;=B3, C76*B7, "")</f>
        <v/>
      </c>
      <c r="F76" s="103" t="str">
        <f>IF(63&lt;=B3, D76-E76, "")</f>
        <v/>
      </c>
      <c r="G76" s="103" t="str">
        <f>IF(63&lt;=B3, C76-F76, "")</f>
        <v/>
      </c>
    </row>
    <row r="77" spans="1:7">
      <c r="A77" s="101" t="str">
        <f>IF(64&lt;=B3,64,"")</f>
        <v/>
      </c>
      <c r="B77" s="102" t="str">
        <f>IF(64&lt;=B3, B5+63*30, "")</f>
        <v/>
      </c>
      <c r="C77" s="103" t="str">
        <f>IF(64&lt;=B3, G76, "")</f>
        <v/>
      </c>
      <c r="D77" s="103" t="str">
        <f>IF(64&lt;=B3, IF(64=B3, B10, B9), "")</f>
        <v/>
      </c>
      <c r="E77" s="103" t="str">
        <f>IF(64&lt;=B3, C77*B7, "")</f>
        <v/>
      </c>
      <c r="F77" s="103" t="str">
        <f>IF(64&lt;=B3, D77-E77, "")</f>
        <v/>
      </c>
      <c r="G77" s="103" t="str">
        <f>IF(64&lt;=B3, C77-F77, "")</f>
        <v/>
      </c>
    </row>
    <row r="78" spans="1:7">
      <c r="A78" s="101" t="str">
        <f>IF(65&lt;=B3,65,"")</f>
        <v/>
      </c>
      <c r="B78" s="102" t="str">
        <f>IF(65&lt;=B3, B5+64*30, "")</f>
        <v/>
      </c>
      <c r="C78" s="103" t="str">
        <f>IF(65&lt;=B3, G77, "")</f>
        <v/>
      </c>
      <c r="D78" s="103" t="str">
        <f>IF(65&lt;=B3, IF(65=B3, B10, B9), "")</f>
        <v/>
      </c>
      <c r="E78" s="103" t="str">
        <f>IF(65&lt;=B3, C78*B7, "")</f>
        <v/>
      </c>
      <c r="F78" s="103" t="str">
        <f>IF(65&lt;=B3, D78-E78, "")</f>
        <v/>
      </c>
      <c r="G78" s="103" t="str">
        <f>IF(65&lt;=B3, C78-F78, "")</f>
        <v/>
      </c>
    </row>
    <row r="79" spans="1:7">
      <c r="A79" s="101" t="str">
        <f>IF(66&lt;=B3,66,"")</f>
        <v/>
      </c>
      <c r="B79" s="102" t="str">
        <f>IF(66&lt;=B3, B5+65*30, "")</f>
        <v/>
      </c>
      <c r="C79" s="103" t="str">
        <f>IF(66&lt;=B3, G78, "")</f>
        <v/>
      </c>
      <c r="D79" s="103" t="str">
        <f>IF(66&lt;=B3, IF(66=B3, B10, B9), "")</f>
        <v/>
      </c>
      <c r="E79" s="103" t="str">
        <f>IF(66&lt;=B3, C79*B7, "")</f>
        <v/>
      </c>
      <c r="F79" s="103" t="str">
        <f>IF(66&lt;=B3, D79-E79, "")</f>
        <v/>
      </c>
      <c r="G79" s="103" t="str">
        <f>IF(66&lt;=B3, C79-F79, "")</f>
        <v/>
      </c>
    </row>
    <row r="80" spans="1:7">
      <c r="A80" s="101" t="str">
        <f>IF(67&lt;=B3,67,"")</f>
        <v/>
      </c>
      <c r="B80" s="102" t="str">
        <f>IF(67&lt;=B3, B5+66*30, "")</f>
        <v/>
      </c>
      <c r="C80" s="103" t="str">
        <f>IF(67&lt;=B3, G79, "")</f>
        <v/>
      </c>
      <c r="D80" s="103" t="str">
        <f>IF(67&lt;=B3, IF(67=B3, B10, B9), "")</f>
        <v/>
      </c>
      <c r="E80" s="103" t="str">
        <f>IF(67&lt;=B3, C80*B7, "")</f>
        <v/>
      </c>
      <c r="F80" s="103" t="str">
        <f>IF(67&lt;=B3, D80-E80, "")</f>
        <v/>
      </c>
      <c r="G80" s="103" t="str">
        <f>IF(67&lt;=B3, C80-F80, "")</f>
        <v/>
      </c>
    </row>
    <row r="81" spans="1:7">
      <c r="A81" s="101" t="str">
        <f>IF(68&lt;=B3,68,"")</f>
        <v/>
      </c>
      <c r="B81" s="102" t="str">
        <f>IF(68&lt;=B3, B5+67*30, "")</f>
        <v/>
      </c>
      <c r="C81" s="103" t="str">
        <f>IF(68&lt;=B3, G80, "")</f>
        <v/>
      </c>
      <c r="D81" s="103" t="str">
        <f>IF(68&lt;=B3, IF(68=B3, B10, B9), "")</f>
        <v/>
      </c>
      <c r="E81" s="103" t="str">
        <f>IF(68&lt;=B3, C81*B7, "")</f>
        <v/>
      </c>
      <c r="F81" s="103" t="str">
        <f>IF(68&lt;=B3, D81-E81, "")</f>
        <v/>
      </c>
      <c r="G81" s="103" t="str">
        <f>IF(68&lt;=B3, C81-F81, "")</f>
        <v/>
      </c>
    </row>
    <row r="82" spans="1:7">
      <c r="A82" s="101" t="str">
        <f>IF(69&lt;=B3,69,"")</f>
        <v/>
      </c>
      <c r="B82" s="102" t="str">
        <f>IF(69&lt;=B3, B5+68*30, "")</f>
        <v/>
      </c>
      <c r="C82" s="103" t="str">
        <f>IF(69&lt;=B3, G81, "")</f>
        <v/>
      </c>
      <c r="D82" s="103" t="str">
        <f>IF(69&lt;=B3, IF(69=B3, B10, B9), "")</f>
        <v/>
      </c>
      <c r="E82" s="103" t="str">
        <f>IF(69&lt;=B3, C82*B7, "")</f>
        <v/>
      </c>
      <c r="F82" s="103" t="str">
        <f>IF(69&lt;=B3, D82-E82, "")</f>
        <v/>
      </c>
      <c r="G82" s="103" t="str">
        <f>IF(69&lt;=B3, C82-F82, "")</f>
        <v/>
      </c>
    </row>
    <row r="83" spans="1:7">
      <c r="A83" s="101" t="str">
        <f>IF(70&lt;=B3,70,"")</f>
        <v/>
      </c>
      <c r="B83" s="102" t="str">
        <f>IF(70&lt;=B3, B5+69*30, "")</f>
        <v/>
      </c>
      <c r="C83" s="103" t="str">
        <f>IF(70&lt;=B3, G82, "")</f>
        <v/>
      </c>
      <c r="D83" s="103" t="str">
        <f>IF(70&lt;=B3, IF(70=B3, B10, B9), "")</f>
        <v/>
      </c>
      <c r="E83" s="103" t="str">
        <f>IF(70&lt;=B3, C83*B7, "")</f>
        <v/>
      </c>
      <c r="F83" s="103" t="str">
        <f>IF(70&lt;=B3, D83-E83, "")</f>
        <v/>
      </c>
      <c r="G83" s="103" t="str">
        <f>IF(70&lt;=B3, C83-F83, "")</f>
        <v/>
      </c>
    </row>
    <row r="84" spans="1:7">
      <c r="A84" s="101" t="str">
        <f>IF(71&lt;=B3,71,"")</f>
        <v/>
      </c>
      <c r="B84" s="102" t="str">
        <f>IF(71&lt;=B3, B5+70*30, "")</f>
        <v/>
      </c>
      <c r="C84" s="103" t="str">
        <f>IF(71&lt;=B3, G83, "")</f>
        <v/>
      </c>
      <c r="D84" s="103" t="str">
        <f>IF(71&lt;=B3, IF(71=B3, B10, B9), "")</f>
        <v/>
      </c>
      <c r="E84" s="103" t="str">
        <f>IF(71&lt;=B3, C84*B7, "")</f>
        <v/>
      </c>
      <c r="F84" s="103" t="str">
        <f>IF(71&lt;=B3, D84-E84, "")</f>
        <v/>
      </c>
      <c r="G84" s="103" t="str">
        <f>IF(71&lt;=B3, C84-F84, "")</f>
        <v/>
      </c>
    </row>
    <row r="85" spans="1:7">
      <c r="A85" s="101" t="str">
        <f>IF(72&lt;=B3,72,"")</f>
        <v/>
      </c>
      <c r="B85" s="102" t="str">
        <f>IF(72&lt;=B3, B5+71*30, "")</f>
        <v/>
      </c>
      <c r="C85" s="103" t="str">
        <f>IF(72&lt;=B3, G84, "")</f>
        <v/>
      </c>
      <c r="D85" s="103" t="str">
        <f>IF(72&lt;=B3, IF(72=B3, B10, B9), "")</f>
        <v/>
      </c>
      <c r="E85" s="103" t="str">
        <f>IF(72&lt;=B3, C85*B7, "")</f>
        <v/>
      </c>
      <c r="F85" s="103" t="str">
        <f>IF(72&lt;=B3, D85-E85, "")</f>
        <v/>
      </c>
      <c r="G85" s="103" t="str">
        <f>IF(72&lt;=B3, C85-F85, "")</f>
        <v/>
      </c>
    </row>
    <row r="86" spans="1:7">
      <c r="A86" s="101" t="str">
        <f>IF(73&lt;=B3,73,"")</f>
        <v/>
      </c>
      <c r="B86" s="102" t="str">
        <f>IF(73&lt;=B3, B5+72*30, "")</f>
        <v/>
      </c>
      <c r="C86" s="103" t="str">
        <f>IF(73&lt;=B3, G85, "")</f>
        <v/>
      </c>
      <c r="D86" s="103" t="str">
        <f>IF(73&lt;=B3, IF(73=B3, B10, B9), "")</f>
        <v/>
      </c>
      <c r="E86" s="103" t="str">
        <f>IF(73&lt;=B3, C86*B7, "")</f>
        <v/>
      </c>
      <c r="F86" s="103" t="str">
        <f>IF(73&lt;=B3, D86-E86, "")</f>
        <v/>
      </c>
      <c r="G86" s="103" t="str">
        <f>IF(73&lt;=B3, C86-F86, "")</f>
        <v/>
      </c>
    </row>
    <row r="87" spans="1:7">
      <c r="A87" s="101" t="str">
        <f>IF(74&lt;=B3,74,"")</f>
        <v/>
      </c>
      <c r="B87" s="102" t="str">
        <f>IF(74&lt;=B3, B5+73*30, "")</f>
        <v/>
      </c>
      <c r="C87" s="103" t="str">
        <f>IF(74&lt;=B3, G86, "")</f>
        <v/>
      </c>
      <c r="D87" s="103" t="str">
        <f>IF(74&lt;=B3, IF(74=B3, B10, B9), "")</f>
        <v/>
      </c>
      <c r="E87" s="103" t="str">
        <f>IF(74&lt;=B3, C87*B7, "")</f>
        <v/>
      </c>
      <c r="F87" s="103" t="str">
        <f>IF(74&lt;=B3, D87-E87, "")</f>
        <v/>
      </c>
      <c r="G87" s="103" t="str">
        <f>IF(74&lt;=B3, C87-F87, "")</f>
        <v/>
      </c>
    </row>
    <row r="88" spans="1:7">
      <c r="A88" s="101" t="str">
        <f>IF(75&lt;=B3,75,"")</f>
        <v/>
      </c>
      <c r="B88" s="102" t="str">
        <f>IF(75&lt;=B3, B5+74*30, "")</f>
        <v/>
      </c>
      <c r="C88" s="103" t="str">
        <f>IF(75&lt;=B3, G87, "")</f>
        <v/>
      </c>
      <c r="D88" s="103" t="str">
        <f>IF(75&lt;=B3, IF(75=B3, B10, B9), "")</f>
        <v/>
      </c>
      <c r="E88" s="103" t="str">
        <f>IF(75&lt;=B3, C88*B7, "")</f>
        <v/>
      </c>
      <c r="F88" s="103" t="str">
        <f>IF(75&lt;=B3, D88-E88, "")</f>
        <v/>
      </c>
      <c r="G88" s="103" t="str">
        <f>IF(75&lt;=B3, C88-F88, "")</f>
        <v/>
      </c>
    </row>
    <row r="89" spans="1:7">
      <c r="A89" s="101" t="str">
        <f>IF(76&lt;=B3,76,"")</f>
        <v/>
      </c>
      <c r="B89" s="102" t="str">
        <f>IF(76&lt;=B3, B5+75*30, "")</f>
        <v/>
      </c>
      <c r="C89" s="103" t="str">
        <f>IF(76&lt;=B3, G88, "")</f>
        <v/>
      </c>
      <c r="D89" s="103" t="str">
        <f>IF(76&lt;=B3, IF(76=B3, B10, B9), "")</f>
        <v/>
      </c>
      <c r="E89" s="103" t="str">
        <f>IF(76&lt;=B3, C89*B7, "")</f>
        <v/>
      </c>
      <c r="F89" s="103" t="str">
        <f>IF(76&lt;=B3, D89-E89, "")</f>
        <v/>
      </c>
      <c r="G89" s="103" t="str">
        <f>IF(76&lt;=B3, C89-F89, "")</f>
        <v/>
      </c>
    </row>
    <row r="90" spans="1:7">
      <c r="A90" s="101" t="str">
        <f>IF(77&lt;=B3,77,"")</f>
        <v/>
      </c>
      <c r="B90" s="102" t="str">
        <f>IF(77&lt;=B3, B5+76*30, "")</f>
        <v/>
      </c>
      <c r="C90" s="103" t="str">
        <f>IF(77&lt;=B3, G89, "")</f>
        <v/>
      </c>
      <c r="D90" s="103" t="str">
        <f>IF(77&lt;=B3, IF(77=B3, B10, B9), "")</f>
        <v/>
      </c>
      <c r="E90" s="103" t="str">
        <f>IF(77&lt;=B3, C90*B7, "")</f>
        <v/>
      </c>
      <c r="F90" s="103" t="str">
        <f>IF(77&lt;=B3, D90-E90, "")</f>
        <v/>
      </c>
      <c r="G90" s="103" t="str">
        <f>IF(77&lt;=B3, C90-F90, "")</f>
        <v/>
      </c>
    </row>
    <row r="91" spans="1:7">
      <c r="A91" s="101" t="str">
        <f>IF(78&lt;=B3,78,"")</f>
        <v/>
      </c>
      <c r="B91" s="102" t="str">
        <f>IF(78&lt;=B3, B5+77*30, "")</f>
        <v/>
      </c>
      <c r="C91" s="103" t="str">
        <f>IF(78&lt;=B3, G90, "")</f>
        <v/>
      </c>
      <c r="D91" s="103" t="str">
        <f>IF(78&lt;=B3, IF(78=B3, B10, B9), "")</f>
        <v/>
      </c>
      <c r="E91" s="103" t="str">
        <f>IF(78&lt;=B3, C91*B7, "")</f>
        <v/>
      </c>
      <c r="F91" s="103" t="str">
        <f>IF(78&lt;=B3, D91-E91, "")</f>
        <v/>
      </c>
      <c r="G91" s="103" t="str">
        <f>IF(78&lt;=B3, C91-F91, "")</f>
        <v/>
      </c>
    </row>
    <row r="92" spans="1:7">
      <c r="A92" s="101" t="str">
        <f>IF(79&lt;=B3,79,"")</f>
        <v/>
      </c>
      <c r="B92" s="102" t="str">
        <f>IF(79&lt;=B3, B5+78*30, "")</f>
        <v/>
      </c>
      <c r="C92" s="103" t="str">
        <f>IF(79&lt;=B3, G91, "")</f>
        <v/>
      </c>
      <c r="D92" s="103" t="str">
        <f>IF(79&lt;=B3, IF(79=B3, B10, B9), "")</f>
        <v/>
      </c>
      <c r="E92" s="103" t="str">
        <f>IF(79&lt;=B3, C92*B7, "")</f>
        <v/>
      </c>
      <c r="F92" s="103" t="str">
        <f>IF(79&lt;=B3, D92-E92, "")</f>
        <v/>
      </c>
      <c r="G92" s="103" t="str">
        <f>IF(79&lt;=B3, C92-F92, "")</f>
        <v/>
      </c>
    </row>
    <row r="93" spans="1:7">
      <c r="A93" s="101" t="str">
        <f>IF(80&lt;=B3,80,"")</f>
        <v/>
      </c>
      <c r="B93" s="102" t="str">
        <f>IF(80&lt;=B3, B5+79*30, "")</f>
        <v/>
      </c>
      <c r="C93" s="103" t="str">
        <f>IF(80&lt;=B3, G92, "")</f>
        <v/>
      </c>
      <c r="D93" s="103" t="str">
        <f>IF(80&lt;=B3, IF(80=B3, B10, B9), "")</f>
        <v/>
      </c>
      <c r="E93" s="103" t="str">
        <f>IF(80&lt;=B3, C93*B7, "")</f>
        <v/>
      </c>
      <c r="F93" s="103" t="str">
        <f>IF(80&lt;=B3, D93-E93, "")</f>
        <v/>
      </c>
      <c r="G93" s="103" t="str">
        <f>IF(80&lt;=B3, C93-F93, "")</f>
        <v/>
      </c>
    </row>
    <row r="94" spans="1:7">
      <c r="A94" s="101" t="str">
        <f>IF(81&lt;=B3,81,"")</f>
        <v/>
      </c>
      <c r="B94" s="102" t="str">
        <f>IF(81&lt;=B3, B5+80*30, "")</f>
        <v/>
      </c>
      <c r="C94" s="103" t="str">
        <f>IF(81&lt;=B3, G93, "")</f>
        <v/>
      </c>
      <c r="D94" s="103" t="str">
        <f>IF(81&lt;=B3, IF(81=B3, B10, B9), "")</f>
        <v/>
      </c>
      <c r="E94" s="103" t="str">
        <f>IF(81&lt;=B3, C94*B7, "")</f>
        <v/>
      </c>
      <c r="F94" s="103" t="str">
        <f>IF(81&lt;=B3, D94-E94, "")</f>
        <v/>
      </c>
      <c r="G94" s="103" t="str">
        <f>IF(81&lt;=B3, C94-F94, "")</f>
        <v/>
      </c>
    </row>
    <row r="95" spans="1:7">
      <c r="A95" s="101" t="str">
        <f>IF(82&lt;=B3,82,"")</f>
        <v/>
      </c>
      <c r="B95" s="102" t="str">
        <f>IF(82&lt;=B3, B5+81*30, "")</f>
        <v/>
      </c>
      <c r="C95" s="103" t="str">
        <f>IF(82&lt;=B3, G94, "")</f>
        <v/>
      </c>
      <c r="D95" s="103" t="str">
        <f>IF(82&lt;=B3, IF(82=B3, B10, B9), "")</f>
        <v/>
      </c>
      <c r="E95" s="103" t="str">
        <f>IF(82&lt;=B3, C95*B7, "")</f>
        <v/>
      </c>
      <c r="F95" s="103" t="str">
        <f>IF(82&lt;=B3, D95-E95, "")</f>
        <v/>
      </c>
      <c r="G95" s="103" t="str">
        <f>IF(82&lt;=B3, C95-F95, "")</f>
        <v/>
      </c>
    </row>
    <row r="96" spans="1:7">
      <c r="A96" s="101" t="str">
        <f>IF(83&lt;=B3,83,"")</f>
        <v/>
      </c>
      <c r="B96" s="102" t="str">
        <f>IF(83&lt;=B3, B5+82*30, "")</f>
        <v/>
      </c>
      <c r="C96" s="103" t="str">
        <f>IF(83&lt;=B3, G95, "")</f>
        <v/>
      </c>
      <c r="D96" s="103" t="str">
        <f>IF(83&lt;=B3, IF(83=B3, B10, B9), "")</f>
        <v/>
      </c>
      <c r="E96" s="103" t="str">
        <f>IF(83&lt;=B3, C96*B7, "")</f>
        <v/>
      </c>
      <c r="F96" s="103" t="str">
        <f>IF(83&lt;=B3, D96-E96, "")</f>
        <v/>
      </c>
      <c r="G96" s="103" t="str">
        <f>IF(83&lt;=B3, C96-F96, "")</f>
        <v/>
      </c>
    </row>
    <row r="97" spans="1:7">
      <c r="A97" s="101" t="str">
        <f>IF(84&lt;=B3,84,"")</f>
        <v/>
      </c>
      <c r="B97" s="102" t="str">
        <f>IF(84&lt;=B3, B5+83*30, "")</f>
        <v/>
      </c>
      <c r="C97" s="103" t="str">
        <f>IF(84&lt;=B3, G96, "")</f>
        <v/>
      </c>
      <c r="D97" s="103" t="str">
        <f>IF(84&lt;=B3, IF(84=B3, B10, B9), "")</f>
        <v/>
      </c>
      <c r="E97" s="103" t="str">
        <f>IF(84&lt;=B3, C97*B7, "")</f>
        <v/>
      </c>
      <c r="F97" s="103" t="str">
        <f>IF(84&lt;=B3, D97-E97, "")</f>
        <v/>
      </c>
      <c r="G97" s="103" t="str">
        <f>IF(84&lt;=B3, C97-F97, "")</f>
        <v/>
      </c>
    </row>
    <row r="98" spans="1:7">
      <c r="A98" s="101" t="str">
        <f>IF(85&lt;=B3,85,"")</f>
        <v/>
      </c>
      <c r="B98" s="102" t="str">
        <f>IF(85&lt;=B3, B5+84*30, "")</f>
        <v/>
      </c>
      <c r="C98" s="103" t="str">
        <f>IF(85&lt;=B3, G97, "")</f>
        <v/>
      </c>
      <c r="D98" s="103" t="str">
        <f>IF(85&lt;=B3, IF(85=B3, B10, B9), "")</f>
        <v/>
      </c>
      <c r="E98" s="103" t="str">
        <f>IF(85&lt;=B3, C98*B7, "")</f>
        <v/>
      </c>
      <c r="F98" s="103" t="str">
        <f>IF(85&lt;=B3, D98-E98, "")</f>
        <v/>
      </c>
      <c r="G98" s="103" t="str">
        <f>IF(85&lt;=B3, C98-F98, "")</f>
        <v/>
      </c>
    </row>
    <row r="99" spans="1:7">
      <c r="A99" s="101" t="str">
        <f>IF(86&lt;=B3,86,"")</f>
        <v/>
      </c>
      <c r="B99" s="102" t="str">
        <f>IF(86&lt;=B3, B5+85*30, "")</f>
        <v/>
      </c>
      <c r="C99" s="103" t="str">
        <f>IF(86&lt;=B3, G98, "")</f>
        <v/>
      </c>
      <c r="D99" s="103" t="str">
        <f>IF(86&lt;=B3, IF(86=B3, B10, B9), "")</f>
        <v/>
      </c>
      <c r="E99" s="103" t="str">
        <f>IF(86&lt;=B3, C99*B7, "")</f>
        <v/>
      </c>
      <c r="F99" s="103" t="str">
        <f>IF(86&lt;=B3, D99-E99, "")</f>
        <v/>
      </c>
      <c r="G99" s="103" t="str">
        <f>IF(86&lt;=B3, C99-F99, "")</f>
        <v/>
      </c>
    </row>
    <row r="100" spans="1:7">
      <c r="A100" s="101" t="str">
        <f>IF(87&lt;=B3,87,"")</f>
        <v/>
      </c>
      <c r="B100" s="102" t="str">
        <f>IF(87&lt;=B3, B5+86*30, "")</f>
        <v/>
      </c>
      <c r="C100" s="103" t="str">
        <f>IF(87&lt;=B3, G99, "")</f>
        <v/>
      </c>
      <c r="D100" s="103" t="str">
        <f>IF(87&lt;=B3, IF(87=B3, B10, B9), "")</f>
        <v/>
      </c>
      <c r="E100" s="103" t="str">
        <f>IF(87&lt;=B3, C100*B7, "")</f>
        <v/>
      </c>
      <c r="F100" s="103" t="str">
        <f>IF(87&lt;=B3, D100-E100, "")</f>
        <v/>
      </c>
      <c r="G100" s="103" t="str">
        <f>IF(87&lt;=B3, C100-F100, "")</f>
        <v/>
      </c>
    </row>
    <row r="101" spans="1:7">
      <c r="A101" s="101" t="str">
        <f>IF(88&lt;=B3,88,"")</f>
        <v/>
      </c>
      <c r="B101" s="102" t="str">
        <f>IF(88&lt;=B3, B5+87*30, "")</f>
        <v/>
      </c>
      <c r="C101" s="103" t="str">
        <f>IF(88&lt;=B3, G100, "")</f>
        <v/>
      </c>
      <c r="D101" s="103" t="str">
        <f>IF(88&lt;=B3, IF(88=B3, B10, B9), "")</f>
        <v/>
      </c>
      <c r="E101" s="103" t="str">
        <f>IF(88&lt;=B3, C101*B7, "")</f>
        <v/>
      </c>
      <c r="F101" s="103" t="str">
        <f>IF(88&lt;=B3, D101-E101, "")</f>
        <v/>
      </c>
      <c r="G101" s="103" t="str">
        <f>IF(88&lt;=B3, C101-F101, "")</f>
        <v/>
      </c>
    </row>
    <row r="102" spans="1:7">
      <c r="A102" s="101" t="str">
        <f>IF(89&lt;=B3,89,"")</f>
        <v/>
      </c>
      <c r="B102" s="102" t="str">
        <f>IF(89&lt;=B3, B5+88*30, "")</f>
        <v/>
      </c>
      <c r="C102" s="103" t="str">
        <f>IF(89&lt;=B3, G101, "")</f>
        <v/>
      </c>
      <c r="D102" s="103" t="str">
        <f>IF(89&lt;=B3, IF(89=B3, B10, B9), "")</f>
        <v/>
      </c>
      <c r="E102" s="103" t="str">
        <f>IF(89&lt;=B3, C102*B7, "")</f>
        <v/>
      </c>
      <c r="F102" s="103" t="str">
        <f>IF(89&lt;=B3, D102-E102, "")</f>
        <v/>
      </c>
      <c r="G102" s="103" t="str">
        <f>IF(89&lt;=B3, C102-F102, "")</f>
        <v/>
      </c>
    </row>
    <row r="103" spans="1:7">
      <c r="A103" s="101" t="str">
        <f>IF(90&lt;=B3,90,"")</f>
        <v/>
      </c>
      <c r="B103" s="102" t="str">
        <f>IF(90&lt;=B3, B5+89*30, "")</f>
        <v/>
      </c>
      <c r="C103" s="103" t="str">
        <f>IF(90&lt;=B3, G102, "")</f>
        <v/>
      </c>
      <c r="D103" s="103" t="str">
        <f>IF(90&lt;=B3, IF(90=B3, B10, B9), "")</f>
        <v/>
      </c>
      <c r="E103" s="103" t="str">
        <f>IF(90&lt;=B3, C103*B7, "")</f>
        <v/>
      </c>
      <c r="F103" s="103" t="str">
        <f>IF(90&lt;=B3, D103-E103, "")</f>
        <v/>
      </c>
      <c r="G103" s="103" t="str">
        <f>IF(90&lt;=B3, C103-F103, "")</f>
        <v/>
      </c>
    </row>
    <row r="104" spans="1:7">
      <c r="A104" s="101" t="str">
        <f>IF(91&lt;=B3,91,"")</f>
        <v/>
      </c>
      <c r="B104" s="102" t="str">
        <f>IF(91&lt;=B3, B5+90*30, "")</f>
        <v/>
      </c>
      <c r="C104" s="103" t="str">
        <f>IF(91&lt;=B3, G103, "")</f>
        <v/>
      </c>
      <c r="D104" s="103" t="str">
        <f>IF(91&lt;=B3, IF(91=B3, B10, B9), "")</f>
        <v/>
      </c>
      <c r="E104" s="103" t="str">
        <f>IF(91&lt;=B3, C104*B7, "")</f>
        <v/>
      </c>
      <c r="F104" s="103" t="str">
        <f>IF(91&lt;=B3, D104-E104, "")</f>
        <v/>
      </c>
      <c r="G104" s="103" t="str">
        <f>IF(91&lt;=B3, C104-F104, "")</f>
        <v/>
      </c>
    </row>
    <row r="105" spans="1:7">
      <c r="A105" s="101" t="str">
        <f>IF(92&lt;=B3,92,"")</f>
        <v/>
      </c>
      <c r="B105" s="102" t="str">
        <f>IF(92&lt;=B3, B5+91*30, "")</f>
        <v/>
      </c>
      <c r="C105" s="103" t="str">
        <f>IF(92&lt;=B3, G104, "")</f>
        <v/>
      </c>
      <c r="D105" s="103" t="str">
        <f>IF(92&lt;=B3, IF(92=B3, B10, B9), "")</f>
        <v/>
      </c>
      <c r="E105" s="103" t="str">
        <f>IF(92&lt;=B3, C105*B7, "")</f>
        <v/>
      </c>
      <c r="F105" s="103" t="str">
        <f>IF(92&lt;=B3, D105-E105, "")</f>
        <v/>
      </c>
      <c r="G105" s="103" t="str">
        <f>IF(92&lt;=B3, C105-F105, "")</f>
        <v/>
      </c>
    </row>
    <row r="106" spans="1:7">
      <c r="A106" s="101" t="str">
        <f>IF(93&lt;=B3,93,"")</f>
        <v/>
      </c>
      <c r="B106" s="102" t="str">
        <f>IF(93&lt;=B3, B5+92*30, "")</f>
        <v/>
      </c>
      <c r="C106" s="103" t="str">
        <f>IF(93&lt;=B3, G105, "")</f>
        <v/>
      </c>
      <c r="D106" s="103" t="str">
        <f>IF(93&lt;=B3, IF(93=B3, B10, B9), "")</f>
        <v/>
      </c>
      <c r="E106" s="103" t="str">
        <f>IF(93&lt;=B3, C106*B7, "")</f>
        <v/>
      </c>
      <c r="F106" s="103" t="str">
        <f>IF(93&lt;=B3, D106-E106, "")</f>
        <v/>
      </c>
      <c r="G106" s="103" t="str">
        <f>IF(93&lt;=B3, C106-F106, "")</f>
        <v/>
      </c>
    </row>
    <row r="107" spans="1:7">
      <c r="A107" s="101" t="str">
        <f>IF(94&lt;=B3,94,"")</f>
        <v/>
      </c>
      <c r="B107" s="102" t="str">
        <f>IF(94&lt;=B3, B5+93*30, "")</f>
        <v/>
      </c>
      <c r="C107" s="103" t="str">
        <f>IF(94&lt;=B3, G106, "")</f>
        <v/>
      </c>
      <c r="D107" s="103" t="str">
        <f>IF(94&lt;=B3, IF(94=B3, B10, B9), "")</f>
        <v/>
      </c>
      <c r="E107" s="103" t="str">
        <f>IF(94&lt;=B3, C107*B7, "")</f>
        <v/>
      </c>
      <c r="F107" s="103" t="str">
        <f>IF(94&lt;=B3, D107-E107, "")</f>
        <v/>
      </c>
      <c r="G107" s="103" t="str">
        <f>IF(94&lt;=B3, C107-F107, "")</f>
        <v/>
      </c>
    </row>
    <row r="108" spans="1:7">
      <c r="A108" s="101" t="str">
        <f>IF(95&lt;=B3,95,"")</f>
        <v/>
      </c>
      <c r="B108" s="102" t="str">
        <f>IF(95&lt;=B3, B5+94*30, "")</f>
        <v/>
      </c>
      <c r="C108" s="103" t="str">
        <f>IF(95&lt;=B3, G107, "")</f>
        <v/>
      </c>
      <c r="D108" s="103" t="str">
        <f>IF(95&lt;=B3, IF(95=B3, B10, B9), "")</f>
        <v/>
      </c>
      <c r="E108" s="103" t="str">
        <f>IF(95&lt;=B3, C108*B7, "")</f>
        <v/>
      </c>
      <c r="F108" s="103" t="str">
        <f>IF(95&lt;=B3, D108-E108, "")</f>
        <v/>
      </c>
      <c r="G108" s="103" t="str">
        <f>IF(95&lt;=B3, C108-F108, "")</f>
        <v/>
      </c>
    </row>
    <row r="109" spans="1:7">
      <c r="A109" s="101" t="str">
        <f>IF(96&lt;=B3,96,"")</f>
        <v/>
      </c>
      <c r="B109" s="102" t="str">
        <f>IF(96&lt;=B3, B5+95*30, "")</f>
        <v/>
      </c>
      <c r="C109" s="103" t="str">
        <f>IF(96&lt;=B3, G108, "")</f>
        <v/>
      </c>
      <c r="D109" s="103" t="str">
        <f>IF(96&lt;=B3, IF(96=B3, B10, B9), "")</f>
        <v/>
      </c>
      <c r="E109" s="103" t="str">
        <f>IF(96&lt;=B3, C109*B7, "")</f>
        <v/>
      </c>
      <c r="F109" s="103" t="str">
        <f>IF(96&lt;=B3, D109-E109, "")</f>
        <v/>
      </c>
      <c r="G109" s="103" t="str">
        <f>IF(96&lt;=B3, C109-F109, "")</f>
        <v/>
      </c>
    </row>
    <row r="110" spans="1:7">
      <c r="A110" s="101" t="str">
        <f>IF(97&lt;=B3,97,"")</f>
        <v/>
      </c>
      <c r="B110" s="102" t="str">
        <f>IF(97&lt;=B3, B5+96*30, "")</f>
        <v/>
      </c>
      <c r="C110" s="103" t="str">
        <f>IF(97&lt;=B3, G109, "")</f>
        <v/>
      </c>
      <c r="D110" s="103" t="str">
        <f>IF(97&lt;=B3, IF(97=B3, B10, B9), "")</f>
        <v/>
      </c>
      <c r="E110" s="103" t="str">
        <f>IF(97&lt;=B3, C110*B7, "")</f>
        <v/>
      </c>
      <c r="F110" s="103" t="str">
        <f>IF(97&lt;=B3, D110-E110, "")</f>
        <v/>
      </c>
      <c r="G110" s="103" t="str">
        <f>IF(97&lt;=B3, C110-F110, "")</f>
        <v/>
      </c>
    </row>
    <row r="111" spans="1:7">
      <c r="A111" s="101" t="str">
        <f>IF(98&lt;=B3,98,"")</f>
        <v/>
      </c>
      <c r="B111" s="102" t="str">
        <f>IF(98&lt;=B3, B5+97*30, "")</f>
        <v/>
      </c>
      <c r="C111" s="103" t="str">
        <f>IF(98&lt;=B3, G110, "")</f>
        <v/>
      </c>
      <c r="D111" s="103" t="str">
        <f>IF(98&lt;=B3, IF(98=B3, B10, B9), "")</f>
        <v/>
      </c>
      <c r="E111" s="103" t="str">
        <f>IF(98&lt;=B3, C111*B7, "")</f>
        <v/>
      </c>
      <c r="F111" s="103" t="str">
        <f>IF(98&lt;=B3, D111-E111, "")</f>
        <v/>
      </c>
      <c r="G111" s="103" t="str">
        <f>IF(98&lt;=B3, C111-F111, "")</f>
        <v/>
      </c>
    </row>
    <row r="112" spans="1:7">
      <c r="A112" s="101" t="str">
        <f>IF(99&lt;=B3,99,"")</f>
        <v/>
      </c>
      <c r="B112" s="102" t="str">
        <f>IF(99&lt;=B3, B5+98*30, "")</f>
        <v/>
      </c>
      <c r="C112" s="103" t="str">
        <f>IF(99&lt;=B3, G111, "")</f>
        <v/>
      </c>
      <c r="D112" s="103" t="str">
        <f>IF(99&lt;=B3, IF(99=B3, B10, B9), "")</f>
        <v/>
      </c>
      <c r="E112" s="103" t="str">
        <f>IF(99&lt;=B3, C112*B7, "")</f>
        <v/>
      </c>
      <c r="F112" s="103" t="str">
        <f>IF(99&lt;=B3, D112-E112, "")</f>
        <v/>
      </c>
      <c r="G112" s="103" t="str">
        <f>IF(99&lt;=B3, C112-F112, "")</f>
        <v/>
      </c>
    </row>
    <row r="113" spans="1:7">
      <c r="A113" s="101" t="str">
        <f>IF(100&lt;=B3,100,"")</f>
        <v/>
      </c>
      <c r="B113" s="102" t="str">
        <f>IF(100&lt;=B3, B5+99*30, "")</f>
        <v/>
      </c>
      <c r="C113" s="103" t="str">
        <f>IF(100&lt;=B3, G112, "")</f>
        <v/>
      </c>
      <c r="D113" s="103" t="str">
        <f>IF(100&lt;=B3, IF(100=B3, B10, B9), "")</f>
        <v/>
      </c>
      <c r="E113" s="103" t="str">
        <f>IF(100&lt;=B3, C113*B7, "")</f>
        <v/>
      </c>
      <c r="F113" s="103" t="str">
        <f>IF(100&lt;=B3, D113-E113, "")</f>
        <v/>
      </c>
      <c r="G113" s="103" t="str">
        <f>IF(100&lt;=B3, C113-F113, "")</f>
        <v/>
      </c>
    </row>
    <row r="114" spans="1:7">
      <c r="A114" s="101" t="str">
        <f>IF(101&lt;=B3,101,"")</f>
        <v/>
      </c>
      <c r="B114" s="102" t="str">
        <f>IF(101&lt;=B3, B5+100*30, "")</f>
        <v/>
      </c>
      <c r="C114" s="103" t="str">
        <f>IF(101&lt;=B3, G113, "")</f>
        <v/>
      </c>
      <c r="D114" s="103" t="str">
        <f>IF(101&lt;=B3, IF(101=B3, B10, B9), "")</f>
        <v/>
      </c>
      <c r="E114" s="103" t="str">
        <f>IF(101&lt;=B3, C114*B7, "")</f>
        <v/>
      </c>
      <c r="F114" s="103" t="str">
        <f>IF(101&lt;=B3, D114-E114, "")</f>
        <v/>
      </c>
      <c r="G114" s="103" t="str">
        <f>IF(101&lt;=B3, C114-F114, "")</f>
        <v/>
      </c>
    </row>
    <row r="115" spans="1:7">
      <c r="A115" s="101" t="str">
        <f>IF(102&lt;=B3,102,"")</f>
        <v/>
      </c>
      <c r="B115" s="102" t="str">
        <f>IF(102&lt;=B3, B5+101*30, "")</f>
        <v/>
      </c>
      <c r="C115" s="103" t="str">
        <f>IF(102&lt;=B3, G114, "")</f>
        <v/>
      </c>
      <c r="D115" s="103" t="str">
        <f>IF(102&lt;=B3, IF(102=B3, B10, B9), "")</f>
        <v/>
      </c>
      <c r="E115" s="103" t="str">
        <f>IF(102&lt;=B3, C115*B7, "")</f>
        <v/>
      </c>
      <c r="F115" s="103" t="str">
        <f>IF(102&lt;=B3, D115-E115, "")</f>
        <v/>
      </c>
      <c r="G115" s="103" t="str">
        <f>IF(102&lt;=B3, C115-F115, "")</f>
        <v/>
      </c>
    </row>
    <row r="116" spans="1:7">
      <c r="A116" s="101" t="str">
        <f>IF(103&lt;=B3,103,"")</f>
        <v/>
      </c>
      <c r="B116" s="102" t="str">
        <f>IF(103&lt;=B3, B5+102*30, "")</f>
        <v/>
      </c>
      <c r="C116" s="103" t="str">
        <f>IF(103&lt;=B3, G115, "")</f>
        <v/>
      </c>
      <c r="D116" s="103" t="str">
        <f>IF(103&lt;=B3, IF(103=B3, B10, B9), "")</f>
        <v/>
      </c>
      <c r="E116" s="103" t="str">
        <f>IF(103&lt;=B3, C116*B7, "")</f>
        <v/>
      </c>
      <c r="F116" s="103" t="str">
        <f>IF(103&lt;=B3, D116-E116, "")</f>
        <v/>
      </c>
      <c r="G116" s="103" t="str">
        <f>IF(103&lt;=B3, C116-F116, "")</f>
        <v/>
      </c>
    </row>
    <row r="117" spans="1:7">
      <c r="A117" s="101" t="str">
        <f>IF(104&lt;=B3,104,"")</f>
        <v/>
      </c>
      <c r="B117" s="102" t="str">
        <f>IF(104&lt;=B3, B5+103*30, "")</f>
        <v/>
      </c>
      <c r="C117" s="103" t="str">
        <f>IF(104&lt;=B3, G116, "")</f>
        <v/>
      </c>
      <c r="D117" s="103" t="str">
        <f>IF(104&lt;=B3, IF(104=B3, B10, B9), "")</f>
        <v/>
      </c>
      <c r="E117" s="103" t="str">
        <f>IF(104&lt;=B3, C117*B7, "")</f>
        <v/>
      </c>
      <c r="F117" s="103" t="str">
        <f>IF(104&lt;=B3, D117-E117, "")</f>
        <v/>
      </c>
      <c r="G117" s="103" t="str">
        <f>IF(104&lt;=B3, C117-F117, "")</f>
        <v/>
      </c>
    </row>
    <row r="118" spans="1:7">
      <c r="A118" s="101" t="str">
        <f>IF(105&lt;=B3,105,"")</f>
        <v/>
      </c>
      <c r="B118" s="102" t="str">
        <f>IF(105&lt;=B3, B5+104*30, "")</f>
        <v/>
      </c>
      <c r="C118" s="103" t="str">
        <f>IF(105&lt;=B3, G117, "")</f>
        <v/>
      </c>
      <c r="D118" s="103" t="str">
        <f>IF(105&lt;=B3, IF(105=B3, B10, B9), "")</f>
        <v/>
      </c>
      <c r="E118" s="103" t="str">
        <f>IF(105&lt;=B3, C118*B7, "")</f>
        <v/>
      </c>
      <c r="F118" s="103" t="str">
        <f>IF(105&lt;=B3, D118-E118, "")</f>
        <v/>
      </c>
      <c r="G118" s="103" t="str">
        <f>IF(105&lt;=B3, C118-F118, "")</f>
        <v/>
      </c>
    </row>
    <row r="119" spans="1:7">
      <c r="A119" s="101" t="str">
        <f>IF(106&lt;=B3,106,"")</f>
        <v/>
      </c>
      <c r="B119" s="102" t="str">
        <f>IF(106&lt;=B3, B5+105*30, "")</f>
        <v/>
      </c>
      <c r="C119" s="103" t="str">
        <f>IF(106&lt;=B3, G118, "")</f>
        <v/>
      </c>
      <c r="D119" s="103" t="str">
        <f>IF(106&lt;=B3, IF(106=B3, B10, B9), "")</f>
        <v/>
      </c>
      <c r="E119" s="103" t="str">
        <f>IF(106&lt;=B3, C119*B7, "")</f>
        <v/>
      </c>
      <c r="F119" s="103" t="str">
        <f>IF(106&lt;=B3, D119-E119, "")</f>
        <v/>
      </c>
      <c r="G119" s="103" t="str">
        <f>IF(106&lt;=B3, C119-F119, "")</f>
        <v/>
      </c>
    </row>
    <row r="120" spans="1:7">
      <c r="A120" s="101" t="str">
        <f>IF(107&lt;=B3,107,"")</f>
        <v/>
      </c>
      <c r="B120" s="102" t="str">
        <f>IF(107&lt;=B3, B5+106*30, "")</f>
        <v/>
      </c>
      <c r="C120" s="103" t="str">
        <f>IF(107&lt;=B3, G119, "")</f>
        <v/>
      </c>
      <c r="D120" s="103" t="str">
        <f>IF(107&lt;=B3, IF(107=B3, B10, B9), "")</f>
        <v/>
      </c>
      <c r="E120" s="103" t="str">
        <f>IF(107&lt;=B3, C120*B7, "")</f>
        <v/>
      </c>
      <c r="F120" s="103" t="str">
        <f>IF(107&lt;=B3, D120-E120, "")</f>
        <v/>
      </c>
      <c r="G120" s="103" t="str">
        <f>IF(107&lt;=B3, C120-F120, "")</f>
        <v/>
      </c>
    </row>
    <row r="121" spans="1:7">
      <c r="A121" s="101" t="str">
        <f>IF(108&lt;=B3,108,"")</f>
        <v/>
      </c>
      <c r="B121" s="102" t="str">
        <f>IF(108&lt;=B3, B5+107*30, "")</f>
        <v/>
      </c>
      <c r="C121" s="103" t="str">
        <f>IF(108&lt;=B3, G120, "")</f>
        <v/>
      </c>
      <c r="D121" s="103" t="str">
        <f>IF(108&lt;=B3, IF(108=B3, B10, B9), "")</f>
        <v/>
      </c>
      <c r="E121" s="103" t="str">
        <f>IF(108&lt;=B3, C121*B7, "")</f>
        <v/>
      </c>
      <c r="F121" s="103" t="str">
        <f>IF(108&lt;=B3, D121-E121, "")</f>
        <v/>
      </c>
      <c r="G121" s="103" t="str">
        <f>IF(108&lt;=B3, C121-F121, "")</f>
        <v/>
      </c>
    </row>
    <row r="122" spans="1:7">
      <c r="A122" s="101" t="str">
        <f>IF(109&lt;=B3,109,"")</f>
        <v/>
      </c>
      <c r="B122" s="102" t="str">
        <f>IF(109&lt;=B3, B5+108*30, "")</f>
        <v/>
      </c>
      <c r="C122" s="103" t="str">
        <f>IF(109&lt;=B3, G121, "")</f>
        <v/>
      </c>
      <c r="D122" s="103" t="str">
        <f>IF(109&lt;=B3, IF(109=B3, B10, B9), "")</f>
        <v/>
      </c>
      <c r="E122" s="103" t="str">
        <f>IF(109&lt;=B3, C122*B7, "")</f>
        <v/>
      </c>
      <c r="F122" s="103" t="str">
        <f>IF(109&lt;=B3, D122-E122, "")</f>
        <v/>
      </c>
      <c r="G122" s="103" t="str">
        <f>IF(109&lt;=B3, C122-F122, "")</f>
        <v/>
      </c>
    </row>
    <row r="123" spans="1:7">
      <c r="A123" s="101" t="str">
        <f>IF(110&lt;=B3,110,"")</f>
        <v/>
      </c>
      <c r="B123" s="102" t="str">
        <f>IF(110&lt;=B3, B5+109*30, "")</f>
        <v/>
      </c>
      <c r="C123" s="103" t="str">
        <f>IF(110&lt;=B3, G122, "")</f>
        <v/>
      </c>
      <c r="D123" s="103" t="str">
        <f>IF(110&lt;=B3, IF(110=B3, B10, B9), "")</f>
        <v/>
      </c>
      <c r="E123" s="103" t="str">
        <f>IF(110&lt;=B3, C123*B7, "")</f>
        <v/>
      </c>
      <c r="F123" s="103" t="str">
        <f>IF(110&lt;=B3, D123-E123, "")</f>
        <v/>
      </c>
      <c r="G123" s="103" t="str">
        <f>IF(110&lt;=B3, C123-F123, "")</f>
        <v/>
      </c>
    </row>
    <row r="124" spans="1:7">
      <c r="A124" s="101" t="str">
        <f>IF(111&lt;=B3,111,"")</f>
        <v/>
      </c>
      <c r="B124" s="102" t="str">
        <f>IF(111&lt;=B3, B5+110*30, "")</f>
        <v/>
      </c>
      <c r="C124" s="103" t="str">
        <f>IF(111&lt;=B3, G123, "")</f>
        <v/>
      </c>
      <c r="D124" s="103" t="str">
        <f>IF(111&lt;=B3, IF(111=B3, B10, B9), "")</f>
        <v/>
      </c>
      <c r="E124" s="103" t="str">
        <f>IF(111&lt;=B3, C124*B7, "")</f>
        <v/>
      </c>
      <c r="F124" s="103" t="str">
        <f>IF(111&lt;=B3, D124-E124, "")</f>
        <v/>
      </c>
      <c r="G124" s="103" t="str">
        <f>IF(111&lt;=B3, C124-F124, "")</f>
        <v/>
      </c>
    </row>
    <row r="125" spans="1:7">
      <c r="A125" s="101" t="str">
        <f>IF(112&lt;=B3,112,"")</f>
        <v/>
      </c>
      <c r="B125" s="102" t="str">
        <f>IF(112&lt;=B3, B5+111*30, "")</f>
        <v/>
      </c>
      <c r="C125" s="103" t="str">
        <f>IF(112&lt;=B3, G124, "")</f>
        <v/>
      </c>
      <c r="D125" s="103" t="str">
        <f>IF(112&lt;=B3, IF(112=B3, B10, B9), "")</f>
        <v/>
      </c>
      <c r="E125" s="103" t="str">
        <f>IF(112&lt;=B3, C125*B7, "")</f>
        <v/>
      </c>
      <c r="F125" s="103" t="str">
        <f>IF(112&lt;=B3, D125-E125, "")</f>
        <v/>
      </c>
      <c r="G125" s="103" t="str">
        <f>IF(112&lt;=B3, C125-F125, "")</f>
        <v/>
      </c>
    </row>
    <row r="126" spans="1:7">
      <c r="A126" s="101" t="str">
        <f>IF(113&lt;=B3,113,"")</f>
        <v/>
      </c>
      <c r="B126" s="102" t="str">
        <f>IF(113&lt;=B3, B5+112*30, "")</f>
        <v/>
      </c>
      <c r="C126" s="103" t="str">
        <f>IF(113&lt;=B3, G125, "")</f>
        <v/>
      </c>
      <c r="D126" s="103" t="str">
        <f>IF(113&lt;=B3, IF(113=B3, B10, B9), "")</f>
        <v/>
      </c>
      <c r="E126" s="103" t="str">
        <f>IF(113&lt;=B3, C126*B7, "")</f>
        <v/>
      </c>
      <c r="F126" s="103" t="str">
        <f>IF(113&lt;=B3, D126-E126, "")</f>
        <v/>
      </c>
      <c r="G126" s="103" t="str">
        <f>IF(113&lt;=B3, C126-F126, "")</f>
        <v/>
      </c>
    </row>
    <row r="127" spans="1:7">
      <c r="A127" s="101" t="str">
        <f>IF(114&lt;=B3,114,"")</f>
        <v/>
      </c>
      <c r="B127" s="102" t="str">
        <f>IF(114&lt;=B3, B5+113*30, "")</f>
        <v/>
      </c>
      <c r="C127" s="103" t="str">
        <f>IF(114&lt;=B3, G126, "")</f>
        <v/>
      </c>
      <c r="D127" s="103" t="str">
        <f>IF(114&lt;=B3, IF(114=B3, B10, B9), "")</f>
        <v/>
      </c>
      <c r="E127" s="103" t="str">
        <f>IF(114&lt;=B3, C127*B7, "")</f>
        <v/>
      </c>
      <c r="F127" s="103" t="str">
        <f>IF(114&lt;=B3, D127-E127, "")</f>
        <v/>
      </c>
      <c r="G127" s="103" t="str">
        <f>IF(114&lt;=B3, C127-F127, "")</f>
        <v/>
      </c>
    </row>
    <row r="128" spans="1:7">
      <c r="A128" s="101" t="str">
        <f>IF(115&lt;=B3,115,"")</f>
        <v/>
      </c>
      <c r="B128" s="102" t="str">
        <f>IF(115&lt;=B3, B5+114*30, "")</f>
        <v/>
      </c>
      <c r="C128" s="103" t="str">
        <f>IF(115&lt;=B3, G127, "")</f>
        <v/>
      </c>
      <c r="D128" s="103" t="str">
        <f>IF(115&lt;=B3, IF(115=B3, B10, B9), "")</f>
        <v/>
      </c>
      <c r="E128" s="103" t="str">
        <f>IF(115&lt;=B3, C128*B7, "")</f>
        <v/>
      </c>
      <c r="F128" s="103" t="str">
        <f>IF(115&lt;=B3, D128-E128, "")</f>
        <v/>
      </c>
      <c r="G128" s="103" t="str">
        <f>IF(115&lt;=B3, C128-F128, "")</f>
        <v/>
      </c>
    </row>
    <row r="129" spans="1:7">
      <c r="A129" s="101" t="str">
        <f>IF(116&lt;=B3,116,"")</f>
        <v/>
      </c>
      <c r="B129" s="102" t="str">
        <f>IF(116&lt;=B3, B5+115*30, "")</f>
        <v/>
      </c>
      <c r="C129" s="103" t="str">
        <f>IF(116&lt;=B3, G128, "")</f>
        <v/>
      </c>
      <c r="D129" s="103" t="str">
        <f>IF(116&lt;=B3, IF(116=B3, B10, B9), "")</f>
        <v/>
      </c>
      <c r="E129" s="103" t="str">
        <f>IF(116&lt;=B3, C129*B7, "")</f>
        <v/>
      </c>
      <c r="F129" s="103" t="str">
        <f>IF(116&lt;=B3, D129-E129, "")</f>
        <v/>
      </c>
      <c r="G129" s="103" t="str">
        <f>IF(116&lt;=B3, C129-F129, "")</f>
        <v/>
      </c>
    </row>
    <row r="130" spans="1:7">
      <c r="A130" s="101" t="str">
        <f>IF(117&lt;=B3,117,"")</f>
        <v/>
      </c>
      <c r="B130" s="102" t="str">
        <f>IF(117&lt;=B3, B5+116*30, "")</f>
        <v/>
      </c>
      <c r="C130" s="103" t="str">
        <f>IF(117&lt;=B3, G129, "")</f>
        <v/>
      </c>
      <c r="D130" s="103" t="str">
        <f>IF(117&lt;=B3, IF(117=B3, B10, B9), "")</f>
        <v/>
      </c>
      <c r="E130" s="103" t="str">
        <f>IF(117&lt;=B3, C130*B7, "")</f>
        <v/>
      </c>
      <c r="F130" s="103" t="str">
        <f>IF(117&lt;=B3, D130-E130, "")</f>
        <v/>
      </c>
      <c r="G130" s="103" t="str">
        <f>IF(117&lt;=B3, C130-F130, "")</f>
        <v/>
      </c>
    </row>
    <row r="131" spans="1:7">
      <c r="A131" s="101" t="str">
        <f>IF(118&lt;=B3,118,"")</f>
        <v/>
      </c>
      <c r="B131" s="102" t="str">
        <f>IF(118&lt;=B3, B5+117*30, "")</f>
        <v/>
      </c>
      <c r="C131" s="103" t="str">
        <f>IF(118&lt;=B3, G130, "")</f>
        <v/>
      </c>
      <c r="D131" s="103" t="str">
        <f>IF(118&lt;=B3, IF(118=B3, B10, B9), "")</f>
        <v/>
      </c>
      <c r="E131" s="103" t="str">
        <f>IF(118&lt;=B3, C131*B7, "")</f>
        <v/>
      </c>
      <c r="F131" s="103" t="str">
        <f>IF(118&lt;=B3, D131-E131, "")</f>
        <v/>
      </c>
      <c r="G131" s="103" t="str">
        <f>IF(118&lt;=B3, C131-F131, "")</f>
        <v/>
      </c>
    </row>
    <row r="132" spans="1:7">
      <c r="A132" s="101" t="str">
        <f>IF(119&lt;=B3,119,"")</f>
        <v/>
      </c>
      <c r="B132" s="102" t="str">
        <f>IF(119&lt;=B3, B5+118*30, "")</f>
        <v/>
      </c>
      <c r="C132" s="103" t="str">
        <f>IF(119&lt;=B3, G131, "")</f>
        <v/>
      </c>
      <c r="D132" s="103" t="str">
        <f>IF(119&lt;=B3, IF(119=B3, B10, B9), "")</f>
        <v/>
      </c>
      <c r="E132" s="103" t="str">
        <f>IF(119&lt;=B3, C132*B7, "")</f>
        <v/>
      </c>
      <c r="F132" s="103" t="str">
        <f>IF(119&lt;=B3, D132-E132, "")</f>
        <v/>
      </c>
      <c r="G132" s="103" t="str">
        <f>IF(119&lt;=B3, C132-F132, "")</f>
        <v/>
      </c>
    </row>
    <row r="133" spans="1:7">
      <c r="A133" s="101" t="str">
        <f>IF(120&lt;=B3,120,"")</f>
        <v/>
      </c>
      <c r="B133" s="102" t="str">
        <f>IF(120&lt;=B3, B5+119*30, "")</f>
        <v/>
      </c>
      <c r="C133" s="103" t="str">
        <f>IF(120&lt;=B3, G132, "")</f>
        <v/>
      </c>
      <c r="D133" s="103" t="str">
        <f>IF(120&lt;=B3, IF(120=B3, B10, B9), "")</f>
        <v/>
      </c>
      <c r="E133" s="103" t="str">
        <f>IF(120&lt;=B3, C133*B7, "")</f>
        <v/>
      </c>
      <c r="F133" s="103" t="str">
        <f>IF(120&lt;=B3, D133-E133, "")</f>
        <v/>
      </c>
      <c r="G133" s="103" t="str">
        <f>IF(120&lt;=B3, C133-F133, "")</f>
        <v/>
      </c>
    </row>
  </sheetData>
  <mergeCells count="1">
    <mergeCell ref="A12:G12"/>
  </mergeCells>
  <dataValidations count="3">
    <dataValidation type="whole" showInputMessage="1" showErrorMessage="1" sqref="B3" xr:uid="{00000000-0002-0000-0400-000000000000}">
      <formula1>1</formula1>
      <formula2>120</formula2>
    </dataValidation>
    <dataValidation type="decimal" allowBlank="1" showInputMessage="1" showErrorMessage="1" sqref="B4" xr:uid="{00000000-0002-0000-0400-000001000000}">
      <formula1>0</formula1>
      <formula2>100</formula2>
    </dataValidation>
    <dataValidation type="decimal" operator="greaterThan" showInputMessage="1" showErrorMessage="1" sqref="B2" xr:uid="{00000000-0002-0000-0400-000002000000}">
      <formula1>0</formula1>
    </dataValidation>
  </dataValidations>
  <pageMargins left="0.75" right="0.75" top="1" bottom="1" header="0.5" footer="0.5"/>
  <pageSetup fitToHeight="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3f4c6ef-2d0f-4b72-9ee6-acf61e8dae80" xsi:nil="true"/>
    <lcf76f155ced4ddcb4097134ff3c332f xmlns="01c70b66-a3c1-4059-9dc2-54635002c55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B7CA2912E87847966F3805C9FBC9E2" ma:contentTypeVersion="14" ma:contentTypeDescription="Create a new document." ma:contentTypeScope="" ma:versionID="3c103e2eafe9a44d541a88491a4186a6">
  <xsd:schema xmlns:xsd="http://www.w3.org/2001/XMLSchema" xmlns:xs="http://www.w3.org/2001/XMLSchema" xmlns:p="http://schemas.microsoft.com/office/2006/metadata/properties" xmlns:ns2="01c70b66-a3c1-4059-9dc2-54635002c557" xmlns:ns3="d3f4c6ef-2d0f-4b72-9ee6-acf61e8dae80" targetNamespace="http://schemas.microsoft.com/office/2006/metadata/properties" ma:root="true" ma:fieldsID="39ca20d4ca62dfe69684144d29d6c342" ns2:_="" ns3:_="">
    <xsd:import namespace="01c70b66-a3c1-4059-9dc2-54635002c557"/>
    <xsd:import namespace="d3f4c6ef-2d0f-4b72-9ee6-acf61e8dae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c70b66-a3c1-4059-9dc2-54635002c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f4c6ef-2d0f-4b72-9ee6-acf61e8dae8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1363d9d-8a5f-4528-bee8-09c7446e7302}" ma:internalName="TaxCatchAll" ma:showField="CatchAllData" ma:web="d3f4c6ef-2d0f-4b72-9ee6-acf61e8dae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681460-59E4-4539-843D-AABC60826E4F}"/>
</file>

<file path=customXml/itemProps2.xml><?xml version="1.0" encoding="utf-8"?>
<ds:datastoreItem xmlns:ds="http://schemas.openxmlformats.org/officeDocument/2006/customXml" ds:itemID="{E315D283-9F48-4D01-B870-015CABAE04F2}"/>
</file>

<file path=customXml/itemProps3.xml><?xml version="1.0" encoding="utf-8"?>
<ds:datastoreItem xmlns:ds="http://schemas.openxmlformats.org/officeDocument/2006/customXml" ds:itemID="{BADBC382-C6E4-4DA3-841F-A19E03B09A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tcurrie</dc:creator>
  <cp:keywords/>
  <dc:description/>
  <cp:lastModifiedBy>John Clegg</cp:lastModifiedBy>
  <cp:revision/>
  <dcterms:created xsi:type="dcterms:W3CDTF">2018-06-23T15:40:55Z</dcterms:created>
  <dcterms:modified xsi:type="dcterms:W3CDTF">2026-04-13T22:52:57Z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0x0101004CB7CA2912E87847966F3805C9FBC9E2</vt:lpwstr>
  </property>
  <property fmtid="{D5CDD505-2E9C-101B-9397-08002B2CF9AE}" pid="3" name="MediaServiceImageTags">
    <vt:lpwstr/>
  </property>
</Properties>
</file>